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whrub14\Documents\WPRP\ANNUAL REPORT\FAP FY 18\FINAL DOCS\"/>
    </mc:Choice>
  </mc:AlternateContent>
  <bookViews>
    <workbookView xWindow="0" yWindow="0" windowWidth="24000" windowHeight="14235" tabRatio="956"/>
  </bookViews>
  <sheets>
    <sheet name="MS4 Information" sheetId="1" r:id="rId1"/>
    <sheet name="All Actions 4-202.1(j)(1)(i)1" sheetId="7" r:id="rId2"/>
    <sheet name="ISRP Cost 4-202.1(j)(1)(i)2" sheetId="3" r:id="rId3"/>
    <sheet name="ISRP Revenue 4-202.1(j)(1)(i)3" sheetId="4" r:id="rId4"/>
    <sheet name="Fund Sources 4-202.1(j)(1)(i)4" sheetId="5" r:id="rId5"/>
    <sheet name="Spec Actions 4-202.1(j)(1)(i)5" sheetId="8" r:id="rId6"/>
  </sheets>
  <externalReferences>
    <externalReference r:id="rId7"/>
  </externalReferences>
  <definedNames>
    <definedName name="_xlnm._FilterDatabase" localSheetId="5" hidden="1">'Spec Actions 4-202.1(j)(1)(i)5'!$A$6:$S$155</definedName>
    <definedName name="_xlnm.Print_Area" localSheetId="5">'Spec Actions 4-202.1(j)(1)(i)5'!$A$1:$M$292</definedName>
    <definedName name="ProjectType">[1]DropDownLists!$B$2:$B$4</definedName>
  </definedNames>
  <calcPr calcId="152511"/>
  <customWorkbookViews>
    <customWorkbookView name="Raymond Bahr - Personal View" guid="{3A7AD114-4D74-4E12-B483-5F1EDDDDB7E3}" mergeInterval="0" personalView="1" maximized="1" xWindow="1" yWindow="1" windowWidth="1276" windowHeight="794" tabRatio="790" activeSheetId="6"/>
    <customWorkbookView name="Brian Cooper - Personal View" guid="{19EB585C-0FBE-4704-A3C1-6BA57A72C50F}" mergeInterval="0" personalView="1" maximized="1" xWindow="1" yWindow="1" windowWidth="1234" windowHeight="763" tabRatio="956" activeSheetId="4"/>
  </customWorkbookViews>
</workbook>
</file>

<file path=xl/calcChain.xml><?xml version="1.0" encoding="utf-8"?>
<calcChain xmlns="http://schemas.openxmlformats.org/spreadsheetml/2006/main">
  <c r="D19" i="8" l="1"/>
  <c r="D38" i="7"/>
  <c r="G19" i="8" l="1"/>
  <c r="D22" i="5"/>
  <c r="C10" i="3"/>
  <c r="I22" i="5" l="1"/>
  <c r="I12" i="5"/>
  <c r="H10" i="3"/>
  <c r="G10" i="3"/>
  <c r="F10" i="3"/>
  <c r="E10" i="3"/>
  <c r="D10" i="3"/>
  <c r="B17" i="3" l="1"/>
  <c r="B22" i="5" l="1"/>
  <c r="E38" i="7"/>
  <c r="E36" i="7"/>
  <c r="E37" i="7"/>
  <c r="B19" i="3"/>
  <c r="C37" i="7"/>
  <c r="C38" i="7"/>
  <c r="F22" i="5" l="1"/>
  <c r="E22" i="5"/>
  <c r="C22" i="5"/>
  <c r="B10" i="3" l="1"/>
  <c r="D176" i="8" l="1"/>
  <c r="D36" i="7" l="1"/>
  <c r="E280" i="8" l="1"/>
  <c r="E19" i="8" l="1"/>
  <c r="D168" i="7" l="1"/>
  <c r="C168" i="7"/>
  <c r="D121" i="7"/>
  <c r="C121" i="7"/>
  <c r="S210" i="8" l="1"/>
  <c r="R210" i="8"/>
  <c r="S180" i="8"/>
  <c r="R180" i="8"/>
  <c r="S172" i="8"/>
  <c r="R172" i="8"/>
  <c r="C36" i="7" l="1"/>
  <c r="D280" i="8" l="1"/>
  <c r="G280" i="8"/>
  <c r="E176" i="8" l="1"/>
  <c r="G176" i="8"/>
  <c r="E281" i="8" l="1"/>
  <c r="D281" i="8" l="1"/>
  <c r="D167" i="7"/>
  <c r="C167" i="7"/>
  <c r="D120" i="7"/>
  <c r="C120" i="7"/>
  <c r="B20" i="3"/>
  <c r="D20" i="3"/>
  <c r="D8" i="4" s="1"/>
  <c r="E20" i="3"/>
  <c r="E8" i="4" s="1"/>
  <c r="F20" i="3"/>
  <c r="F8" i="4" s="1"/>
  <c r="G20" i="3"/>
  <c r="G8" i="4" s="1"/>
  <c r="H20" i="3"/>
  <c r="H8" i="4" s="1"/>
  <c r="I9" i="3"/>
  <c r="B13" i="5"/>
  <c r="B20" i="5"/>
  <c r="B25" i="5"/>
  <c r="C13" i="5"/>
  <c r="C20" i="5"/>
  <c r="C25" i="5"/>
  <c r="D13" i="5"/>
  <c r="D26" i="5" s="1"/>
  <c r="D7" i="4" s="1"/>
  <c r="D20" i="5"/>
  <c r="D25" i="5"/>
  <c r="I8" i="3"/>
  <c r="I11" i="3"/>
  <c r="D122" i="7"/>
  <c r="D169" i="7"/>
  <c r="D19" i="3"/>
  <c r="I8" i="5"/>
  <c r="I9" i="5"/>
  <c r="I10" i="5"/>
  <c r="I11" i="5"/>
  <c r="I24" i="5"/>
  <c r="I23" i="5"/>
  <c r="I25" i="5"/>
  <c r="I15" i="5"/>
  <c r="I16" i="5"/>
  <c r="I17" i="5"/>
  <c r="I18" i="5"/>
  <c r="I19" i="5"/>
  <c r="B4" i="8"/>
  <c r="H68" i="8" s="1"/>
  <c r="B6" i="7"/>
  <c r="C169" i="7"/>
  <c r="E13" i="5"/>
  <c r="E26" i="5" s="1"/>
  <c r="E7" i="4" s="1"/>
  <c r="E20" i="5"/>
  <c r="E25" i="5"/>
  <c r="F13" i="5"/>
  <c r="F20" i="5"/>
  <c r="F25" i="5"/>
  <c r="G13" i="5"/>
  <c r="G20" i="5"/>
  <c r="G25" i="5"/>
  <c r="H13" i="5"/>
  <c r="H20" i="5"/>
  <c r="H25" i="5"/>
  <c r="I18" i="3"/>
  <c r="I12" i="3"/>
  <c r="E19" i="3"/>
  <c r="F19" i="3"/>
  <c r="G19" i="3"/>
  <c r="H19" i="3"/>
  <c r="I14" i="3"/>
  <c r="I15" i="3"/>
  <c r="I16" i="3"/>
  <c r="I17" i="3"/>
  <c r="B8" i="4" l="1"/>
  <c r="I7" i="4"/>
  <c r="E20" i="7"/>
  <c r="E74" i="7"/>
  <c r="G281" i="8"/>
  <c r="D37" i="7"/>
  <c r="D171" i="7" s="1"/>
  <c r="E111" i="7"/>
  <c r="E110" i="7"/>
  <c r="E113" i="7"/>
  <c r="E112" i="7"/>
  <c r="E109" i="7"/>
  <c r="E115" i="7"/>
  <c r="E108" i="7"/>
  <c r="E95" i="7"/>
  <c r="E94" i="7"/>
  <c r="E106" i="7"/>
  <c r="E93" i="7"/>
  <c r="E102" i="7"/>
  <c r="E100" i="7"/>
  <c r="E97" i="7"/>
  <c r="E107" i="7"/>
  <c r="E92" i="7"/>
  <c r="E99" i="7"/>
  <c r="E96" i="7"/>
  <c r="E90" i="7"/>
  <c r="H215" i="8"/>
  <c r="H227" i="8"/>
  <c r="H214" i="8"/>
  <c r="H213" i="8"/>
  <c r="H212" i="8"/>
  <c r="H226" i="8"/>
  <c r="H216" i="8"/>
  <c r="H210" i="8"/>
  <c r="H209" i="8"/>
  <c r="H201" i="8"/>
  <c r="H190" i="8"/>
  <c r="H208" i="8"/>
  <c r="H200" i="8"/>
  <c r="H189" i="8"/>
  <c r="H187" i="8"/>
  <c r="H186" i="8"/>
  <c r="H197" i="8"/>
  <c r="H196" i="8"/>
  <c r="H198" i="8"/>
  <c r="H202" i="8"/>
  <c r="H207" i="8"/>
  <c r="H188" i="8"/>
  <c r="H199" i="8"/>
  <c r="H205" i="8"/>
  <c r="H204" i="8"/>
  <c r="H203" i="8"/>
  <c r="H195" i="8"/>
  <c r="H206" i="8"/>
  <c r="E83" i="7"/>
  <c r="E82" i="7"/>
  <c r="H173" i="8"/>
  <c r="H174" i="8"/>
  <c r="H179" i="8"/>
  <c r="H180" i="8"/>
  <c r="H182" i="8"/>
  <c r="H178" i="8"/>
  <c r="H184" i="8"/>
  <c r="H181" i="8"/>
  <c r="H183" i="8"/>
  <c r="E156" i="7"/>
  <c r="E158" i="7"/>
  <c r="E152" i="7"/>
  <c r="E155" i="7"/>
  <c r="E154" i="7"/>
  <c r="E153" i="7"/>
  <c r="E151" i="7"/>
  <c r="E159" i="7"/>
  <c r="E150" i="7"/>
  <c r="E137" i="7"/>
  <c r="E136" i="7"/>
  <c r="E133" i="7"/>
  <c r="E135" i="7"/>
  <c r="E134" i="7"/>
  <c r="E165" i="7"/>
  <c r="E164" i="7"/>
  <c r="E163" i="7"/>
  <c r="E162" i="7"/>
  <c r="E161" i="7"/>
  <c r="E143" i="7"/>
  <c r="E130" i="7"/>
  <c r="E142" i="7"/>
  <c r="E129" i="7"/>
  <c r="E141" i="7"/>
  <c r="E128" i="7"/>
  <c r="E147" i="7"/>
  <c r="E138" i="7"/>
  <c r="E146" i="7"/>
  <c r="E144" i="7"/>
  <c r="E148" i="7"/>
  <c r="E140" i="7"/>
  <c r="E127" i="7"/>
  <c r="E139" i="7"/>
  <c r="E145" i="7"/>
  <c r="E131" i="7"/>
  <c r="E125" i="7"/>
  <c r="E126" i="7"/>
  <c r="E77" i="7"/>
  <c r="E80" i="7"/>
  <c r="E79" i="7"/>
  <c r="E76" i="7"/>
  <c r="E73" i="7"/>
  <c r="E84" i="7"/>
  <c r="E81" i="7"/>
  <c r="E75" i="7"/>
  <c r="E78" i="7"/>
  <c r="E42" i="7"/>
  <c r="E68" i="7"/>
  <c r="E61" i="7"/>
  <c r="E67" i="7"/>
  <c r="E60" i="7"/>
  <c r="E65" i="7"/>
  <c r="E64" i="7"/>
  <c r="E62" i="7"/>
  <c r="E66" i="7"/>
  <c r="E63" i="7"/>
  <c r="E87" i="7"/>
  <c r="E58" i="7"/>
  <c r="E51" i="7"/>
  <c r="E86" i="7"/>
  <c r="E57" i="7"/>
  <c r="E50" i="7"/>
  <c r="E56" i="7"/>
  <c r="E72" i="7"/>
  <c r="E55" i="7"/>
  <c r="E48" i="7"/>
  <c r="E54" i="7"/>
  <c r="E47" i="7"/>
  <c r="E53" i="7"/>
  <c r="E89" i="7"/>
  <c r="E88" i="7"/>
  <c r="E85" i="7"/>
  <c r="E49" i="7"/>
  <c r="E71" i="7"/>
  <c r="E70" i="7"/>
  <c r="E69" i="7"/>
  <c r="E59" i="7"/>
  <c r="E52" i="7"/>
  <c r="H148" i="8"/>
  <c r="H149" i="8"/>
  <c r="H150" i="8"/>
  <c r="H224" i="8"/>
  <c r="H222" i="8"/>
  <c r="H263" i="8"/>
  <c r="H255" i="8"/>
  <c r="H247" i="8"/>
  <c r="H239" i="8"/>
  <c r="H232" i="8"/>
  <c r="H272" i="8"/>
  <c r="H221" i="8"/>
  <c r="H262" i="8"/>
  <c r="H254" i="8"/>
  <c r="H246" i="8"/>
  <c r="H238" i="8"/>
  <c r="H231" i="8"/>
  <c r="H271" i="8"/>
  <c r="H268" i="8"/>
  <c r="H261" i="8"/>
  <c r="H253" i="8"/>
  <c r="H245" i="8"/>
  <c r="H237" i="8"/>
  <c r="H230" i="8"/>
  <c r="H223" i="8"/>
  <c r="H217" i="8"/>
  <c r="H260" i="8"/>
  <c r="H252" i="8"/>
  <c r="H244" i="8"/>
  <c r="H236" i="8"/>
  <c r="H229" i="8"/>
  <c r="H219" i="8"/>
  <c r="H267" i="8"/>
  <c r="H259" i="8"/>
  <c r="H251" i="8"/>
  <c r="H243" i="8"/>
  <c r="H235" i="8"/>
  <c r="H228" i="8"/>
  <c r="H278" i="8"/>
  <c r="H218" i="8"/>
  <c r="H266" i="8"/>
  <c r="H258" i="8"/>
  <c r="H250" i="8"/>
  <c r="H242" i="8"/>
  <c r="H240" i="8"/>
  <c r="H276" i="8"/>
  <c r="H270" i="8"/>
  <c r="H265" i="8"/>
  <c r="H257" i="8"/>
  <c r="H249" i="8"/>
  <c r="H241" i="8"/>
  <c r="H234" i="8"/>
  <c r="H233" i="8"/>
  <c r="H277" i="8"/>
  <c r="H269" i="8"/>
  <c r="H264" i="8"/>
  <c r="H256" i="8"/>
  <c r="H248" i="8"/>
  <c r="H170" i="8"/>
  <c r="H162" i="8"/>
  <c r="H169" i="8"/>
  <c r="H161" i="8"/>
  <c r="H168" i="8"/>
  <c r="H160" i="8"/>
  <c r="H157" i="8"/>
  <c r="H171" i="8"/>
  <c r="H167" i="8"/>
  <c r="H159" i="8"/>
  <c r="H172" i="8"/>
  <c r="H163" i="8"/>
  <c r="H166" i="8"/>
  <c r="H165" i="8"/>
  <c r="H164" i="8"/>
  <c r="H158" i="8"/>
  <c r="E35" i="7"/>
  <c r="E24" i="7"/>
  <c r="E28" i="7"/>
  <c r="E26" i="7"/>
  <c r="E27" i="7"/>
  <c r="E25" i="7"/>
  <c r="E29" i="7"/>
  <c r="E23" i="7"/>
  <c r="E22" i="7"/>
  <c r="E21" i="7"/>
  <c r="E19" i="7"/>
  <c r="E18" i="7"/>
  <c r="E17" i="7"/>
  <c r="E16" i="7"/>
  <c r="E15" i="7"/>
  <c r="E46" i="7"/>
  <c r="E45" i="7"/>
  <c r="E44" i="7"/>
  <c r="E41" i="7"/>
  <c r="E43" i="7"/>
  <c r="E40" i="7"/>
  <c r="H18" i="8"/>
  <c r="H10" i="8"/>
  <c r="H17" i="8"/>
  <c r="H9" i="8"/>
  <c r="H8" i="8"/>
  <c r="H15" i="8"/>
  <c r="H14" i="8"/>
  <c r="H13" i="8"/>
  <c r="H12" i="8"/>
  <c r="H16" i="8"/>
  <c r="H11" i="8"/>
  <c r="B26" i="5"/>
  <c r="B7" i="4" s="1"/>
  <c r="I20" i="5"/>
  <c r="F26" i="5"/>
  <c r="F7" i="4" s="1"/>
  <c r="H26" i="5"/>
  <c r="H7" i="4" s="1"/>
  <c r="G26" i="5"/>
  <c r="G7" i="4" s="1"/>
  <c r="C26" i="5"/>
  <c r="C7" i="4" s="1"/>
  <c r="I8" i="4"/>
  <c r="I9" i="4" s="1"/>
  <c r="H143" i="8"/>
  <c r="H135" i="8"/>
  <c r="H119" i="8"/>
  <c r="H112" i="8"/>
  <c r="H96" i="8"/>
  <c r="H88" i="8"/>
  <c r="H72" i="8"/>
  <c r="H55" i="8"/>
  <c r="H39" i="8"/>
  <c r="H24" i="8"/>
  <c r="H82" i="8"/>
  <c r="H26" i="8"/>
  <c r="H142" i="8"/>
  <c r="H134" i="8"/>
  <c r="H126" i="8"/>
  <c r="H111" i="8"/>
  <c r="H103" i="8"/>
  <c r="H95" i="8"/>
  <c r="H87" i="8"/>
  <c r="H79" i="8"/>
  <c r="H71" i="8"/>
  <c r="H62" i="8"/>
  <c r="H54" i="8"/>
  <c r="H46" i="8"/>
  <c r="H38" i="8"/>
  <c r="H31" i="8"/>
  <c r="H23" i="8"/>
  <c r="H139" i="8"/>
  <c r="H76" i="8"/>
  <c r="H43" i="8"/>
  <c r="H137" i="8"/>
  <c r="H74" i="8"/>
  <c r="H34" i="8"/>
  <c r="H141" i="8"/>
  <c r="H133" i="8"/>
  <c r="H125" i="8"/>
  <c r="H116" i="8"/>
  <c r="H110" i="8"/>
  <c r="H102" i="8"/>
  <c r="H94" i="8"/>
  <c r="H86" i="8"/>
  <c r="H78" i="8"/>
  <c r="H70" i="8"/>
  <c r="H61" i="8"/>
  <c r="H53" i="8"/>
  <c r="H45" i="8"/>
  <c r="H30" i="8"/>
  <c r="H22" i="8"/>
  <c r="H145" i="8"/>
  <c r="H84" i="8"/>
  <c r="H59" i="8"/>
  <c r="H28" i="8"/>
  <c r="H121" i="8"/>
  <c r="H106" i="8"/>
  <c r="H49" i="8"/>
  <c r="H155" i="8"/>
  <c r="H146" i="8"/>
  <c r="H140" i="8"/>
  <c r="H132" i="8"/>
  <c r="H124" i="8"/>
  <c r="H115" i="8"/>
  <c r="H109" i="8"/>
  <c r="H101" i="8"/>
  <c r="H93" i="8"/>
  <c r="H85" i="8"/>
  <c r="H77" i="8"/>
  <c r="H69" i="8"/>
  <c r="H60" i="8"/>
  <c r="H52" i="8"/>
  <c r="H44" i="8"/>
  <c r="H37" i="8"/>
  <c r="H29" i="8"/>
  <c r="H21" i="8"/>
  <c r="H123" i="8"/>
  <c r="H108" i="8"/>
  <c r="H92" i="8"/>
  <c r="H67" i="8"/>
  <c r="H36" i="8"/>
  <c r="H114" i="8"/>
  <c r="H65" i="8"/>
  <c r="H154" i="8"/>
  <c r="H131" i="8"/>
  <c r="H100" i="8"/>
  <c r="H51" i="8"/>
  <c r="H152" i="8"/>
  <c r="H90" i="8"/>
  <c r="H153" i="8"/>
  <c r="H144" i="8"/>
  <c r="H138" i="8"/>
  <c r="H130" i="8"/>
  <c r="H122" i="8"/>
  <c r="H107" i="8"/>
  <c r="H99" i="8"/>
  <c r="H91" i="8"/>
  <c r="H83" i="8"/>
  <c r="H75" i="8"/>
  <c r="H66" i="8"/>
  <c r="H58" i="8"/>
  <c r="H50" i="8"/>
  <c r="H42" i="8"/>
  <c r="H35" i="8"/>
  <c r="H27" i="8"/>
  <c r="H129" i="8"/>
  <c r="H98" i="8"/>
  <c r="H57" i="8"/>
  <c r="H151" i="8"/>
  <c r="H136" i="8"/>
  <c r="H128" i="8"/>
  <c r="H120" i="8"/>
  <c r="H118" i="8"/>
  <c r="H113" i="8"/>
  <c r="H105" i="8"/>
  <c r="H97" i="8"/>
  <c r="H89" i="8"/>
  <c r="H81" i="8"/>
  <c r="H73" i="8"/>
  <c r="H64" i="8"/>
  <c r="H56" i="8"/>
  <c r="H48" i="8"/>
  <c r="H40" i="8"/>
  <c r="H33" i="8"/>
  <c r="H25" i="8"/>
  <c r="H127" i="8"/>
  <c r="H104" i="8"/>
  <c r="H80" i="8"/>
  <c r="H63" i="8"/>
  <c r="H47" i="8"/>
  <c r="H32" i="8"/>
  <c r="H41" i="8"/>
  <c r="D170" i="7"/>
  <c r="E116" i="7"/>
  <c r="E11" i="7"/>
  <c r="E10" i="7"/>
  <c r="C170" i="7"/>
  <c r="D172" i="7"/>
  <c r="E32" i="7"/>
  <c r="E118" i="7"/>
  <c r="E14" i="7"/>
  <c r="I13" i="5"/>
  <c r="C171" i="7"/>
  <c r="C122" i="7"/>
  <c r="C172" i="7" s="1"/>
  <c r="E117" i="7"/>
  <c r="E13" i="7"/>
  <c r="E33" i="7"/>
  <c r="E12" i="7"/>
  <c r="E31" i="7"/>
  <c r="E124" i="7"/>
  <c r="E119" i="7"/>
  <c r="E30" i="7"/>
  <c r="H19" i="8" l="1"/>
  <c r="E168" i="7"/>
  <c r="E121" i="7"/>
  <c r="E167" i="7"/>
  <c r="J7" i="4"/>
  <c r="I26" i="5"/>
  <c r="H280" i="8"/>
  <c r="E120" i="7"/>
  <c r="H176" i="8"/>
  <c r="E169" i="7" l="1"/>
  <c r="H281" i="8"/>
  <c r="E170" i="7"/>
  <c r="E122" i="7"/>
  <c r="E172" i="7" l="1"/>
  <c r="E171" i="7"/>
  <c r="I10" i="3" l="1"/>
  <c r="C20" i="3"/>
  <c r="C19" i="3"/>
  <c r="I19" i="3" s="1"/>
  <c r="C8" i="4" l="1"/>
  <c r="J8" i="4" s="1"/>
  <c r="I20" i="3"/>
  <c r="I28" i="5"/>
  <c r="I21" i="3"/>
  <c r="I22" i="3" s="1"/>
  <c r="I29" i="5"/>
</calcChain>
</file>

<file path=xl/comments1.xml><?xml version="1.0" encoding="utf-8"?>
<comments xmlns="http://schemas.openxmlformats.org/spreadsheetml/2006/main">
  <authors>
    <author>Michael N. Hrubiak</author>
  </authors>
  <commentList>
    <comment ref="H8" authorId="0" shapeId="0">
      <text>
        <r>
          <rPr>
            <b/>
            <sz val="9"/>
            <color indexed="81"/>
            <rFont val="Tahoma"/>
            <family val="2"/>
          </rPr>
          <t>Michael N. Hrubiak:</t>
        </r>
        <r>
          <rPr>
            <sz val="9"/>
            <color indexed="81"/>
            <rFont val="Tahoma"/>
            <family val="2"/>
          </rPr>
          <t xml:space="preserve">
Projected costs for rows 8 &amp; 9 include 3% annual inflation </t>
        </r>
      </text>
    </comment>
  </commentList>
</comments>
</file>

<file path=xl/comments2.xml><?xml version="1.0" encoding="utf-8"?>
<comments xmlns="http://schemas.openxmlformats.org/spreadsheetml/2006/main">
  <authors>
    <author>Michael N. Hrubiak</author>
  </authors>
  <commentList>
    <comment ref="B22" authorId="0" shapeId="0">
      <text>
        <r>
          <rPr>
            <b/>
            <sz val="9"/>
            <color indexed="81"/>
            <rFont val="Tahoma"/>
            <family val="2"/>
          </rPr>
          <t>Michael N. Hrubiak:</t>
        </r>
        <r>
          <rPr>
            <sz val="9"/>
            <color indexed="81"/>
            <rFont val="Tahoma"/>
            <family val="2"/>
          </rPr>
          <t xml:space="preserve">
Cumulative up thru FY17  is for Dividing Creek - 2 different grants
</t>
        </r>
      </text>
    </comment>
    <comment ref="C22" authorId="0" shapeId="0">
      <text>
        <r>
          <rPr>
            <b/>
            <sz val="9"/>
            <color indexed="81"/>
            <rFont val="Tahoma"/>
            <family val="2"/>
          </rPr>
          <t>Michael N. Hrubiak:</t>
        </r>
        <r>
          <rPr>
            <sz val="9"/>
            <color indexed="81"/>
            <rFont val="Tahoma"/>
            <family val="2"/>
          </rPr>
          <t xml:space="preserve">
Linthicum Oaks and GB Ponds + 1/3 of Cowhide</t>
        </r>
      </text>
    </comment>
    <comment ref="D22" authorId="0" shapeId="0">
      <text>
        <r>
          <rPr>
            <b/>
            <sz val="9"/>
            <color indexed="81"/>
            <rFont val="Tahoma"/>
            <family val="2"/>
          </rPr>
          <t>Michael N. Hrubiak:</t>
        </r>
        <r>
          <rPr>
            <sz val="9"/>
            <color indexed="81"/>
            <rFont val="Tahoma"/>
            <family val="2"/>
          </rPr>
          <t xml:space="preserve">
1/3 of Cowhide + 1/2 of Furnace Creek</t>
        </r>
      </text>
    </comment>
    <comment ref="E22" authorId="0" shapeId="0">
      <text>
        <r>
          <rPr>
            <b/>
            <sz val="9"/>
            <color indexed="81"/>
            <rFont val="Tahoma"/>
            <family val="2"/>
          </rPr>
          <t>Michael N. Hrubiak:</t>
        </r>
        <r>
          <rPr>
            <sz val="9"/>
            <color indexed="81"/>
            <rFont val="Tahoma"/>
            <family val="2"/>
          </rPr>
          <t xml:space="preserve">
1/3 of Cowhide + 1/2 of Furnace + 1/2 of Najoles + 1/2 of Kingsberry</t>
        </r>
      </text>
    </comment>
    <comment ref="F22" authorId="0" shapeId="0">
      <text>
        <r>
          <rPr>
            <b/>
            <sz val="9"/>
            <color indexed="81"/>
            <rFont val="Tahoma"/>
            <family val="2"/>
          </rPr>
          <t>Michael N. Hrubiak:</t>
        </r>
        <r>
          <rPr>
            <sz val="9"/>
            <color indexed="81"/>
            <rFont val="Tahoma"/>
            <family val="2"/>
          </rPr>
          <t xml:space="preserve">
1/2 of Najoles + 1/2 of Kingsberry</t>
        </r>
      </text>
    </comment>
  </commentList>
</comments>
</file>

<file path=xl/sharedStrings.xml><?xml version="1.0" encoding="utf-8"?>
<sst xmlns="http://schemas.openxmlformats.org/spreadsheetml/2006/main" count="2076" uniqueCount="679">
  <si>
    <t>Requirement:</t>
  </si>
  <si>
    <t>REST BMP TYPE</t>
  </si>
  <si>
    <t>BMP CLASS</t>
  </si>
  <si>
    <t>IMP ACRES</t>
  </si>
  <si>
    <t>Capital Projects</t>
  </si>
  <si>
    <t>Other</t>
  </si>
  <si>
    <t>FY 2018</t>
  </si>
  <si>
    <t>FY 2019</t>
  </si>
  <si>
    <t>FY 2020</t>
  </si>
  <si>
    <t>Street Sweeping Program</t>
  </si>
  <si>
    <t>Inlet Cleaning</t>
  </si>
  <si>
    <t>Support of Capital Projects</t>
  </si>
  <si>
    <t>WPR Fund (Paygo)</t>
  </si>
  <si>
    <t>Debt Service</t>
  </si>
  <si>
    <t>Grants &amp; Partnerships</t>
  </si>
  <si>
    <t>Check with MDE Geodatabase:</t>
  </si>
  <si>
    <t>Paygo Sources</t>
  </si>
  <si>
    <t>Stormwater Remediation Fees (WPR Fund)</t>
  </si>
  <si>
    <t>Miscellaneous Fees (WPR Fund)</t>
  </si>
  <si>
    <t>General Fund</t>
  </si>
  <si>
    <t>County Transportation Bonds</t>
  </si>
  <si>
    <t>General Obligation Bonds</t>
  </si>
  <si>
    <t>State Revolving Loan Fund</t>
  </si>
  <si>
    <t>Public-private partnership (debt service)</t>
  </si>
  <si>
    <t>Grants and Partnerships (no payment is expected)</t>
  </si>
  <si>
    <t>State funded grants</t>
  </si>
  <si>
    <t>Federal funded grants</t>
  </si>
  <si>
    <t>Public-private partnership (matched grant)</t>
  </si>
  <si>
    <t>Total Annual Sources of Funds</t>
  </si>
  <si>
    <t xml:space="preserve">* WPR Fund: Watershed Protection and Restoration Fund.  </t>
  </si>
  <si>
    <t>Annual Revenue** Appropriated for ISRP</t>
  </si>
  <si>
    <t>ISRP = Impervious Surface Restoration Program, or 20% Restoration Requirement</t>
  </si>
  <si>
    <t>Should match Permit info table of Geodatabase, except for Impervious Acre Baseline-- that should match Impervious Surface Table.</t>
  </si>
  <si>
    <t>Debt Service Payment</t>
  </si>
  <si>
    <t>Subtotal Paygo Sources</t>
  </si>
  <si>
    <t>Subtotal Debt Service</t>
  </si>
  <si>
    <t>Total expenditures:</t>
  </si>
  <si>
    <t>Subtotal Grants and Partnerships</t>
  </si>
  <si>
    <t>REST BMP ID</t>
  </si>
  <si>
    <t>NUM BMP</t>
  </si>
  <si>
    <t>BUILT DATE</t>
  </si>
  <si>
    <t>IMPL COST</t>
  </si>
  <si>
    <t>IMPL STATUS</t>
  </si>
  <si>
    <t>% ISRP Complete</t>
  </si>
  <si>
    <t>Notes:</t>
  </si>
  <si>
    <t>For street sweeping indicate the annual frequency that the streets are swept and for inlet cleaning indicate the number of inlets cleaned-out.</t>
  </si>
  <si>
    <t>Jurisdiction</t>
  </si>
  <si>
    <t>Phone</t>
  </si>
  <si>
    <t xml:space="preserve">Email </t>
  </si>
  <si>
    <t>REST BMP TYPE*</t>
  </si>
  <si>
    <t>*Use BMP domains from MDE Geodatabase.</t>
  </si>
  <si>
    <t>**Complete, Under Construction, Planning, or Proposed</t>
  </si>
  <si>
    <t>Contact Name</t>
  </si>
  <si>
    <t>Permit Num</t>
  </si>
  <si>
    <t>Reporting Year</t>
  </si>
  <si>
    <t>Percent of Funds Directed Toward ISRP</t>
  </si>
  <si>
    <t>*** See table of ISRP Cost.</t>
  </si>
  <si>
    <t>GEN COMMENTS</t>
  </si>
  <si>
    <t>SOURCE</t>
  </si>
  <si>
    <t>PAST</t>
  </si>
  <si>
    <t>PROJECTED</t>
  </si>
  <si>
    <t>YEAR 1</t>
  </si>
  <si>
    <t>YEAR 2</t>
  </si>
  <si>
    <t>YEAR 3</t>
  </si>
  <si>
    <t>YEAR 4</t>
  </si>
  <si>
    <t>YEAR 5</t>
  </si>
  <si>
    <t>TOTAL</t>
  </si>
  <si>
    <t>PERMIT</t>
  </si>
  <si>
    <t>CYCLE</t>
  </si>
  <si>
    <t>TOTAL NEXT</t>
  </si>
  <si>
    <t>2-YEARS</t>
  </si>
  <si>
    <t>DESCRIPTION</t>
  </si>
  <si>
    <t>COSTS</t>
  </si>
  <si>
    <t>IMPL STATUS**</t>
  </si>
  <si>
    <t>% ISRP COMPLETE</t>
  </si>
  <si>
    <t>Total ISRP costs except debt service:</t>
  </si>
  <si>
    <t>Compare ISRP costs (except debt service) / total ISRP proposed actions:</t>
  </si>
  <si>
    <t>Annual Costs towards ISRP***</t>
  </si>
  <si>
    <t>-</t>
  </si>
  <si>
    <t>Subtotal operation and paygo:</t>
  </si>
  <si>
    <t>MS4 Information</t>
  </si>
  <si>
    <t>Operating Expenditures (costs)</t>
  </si>
  <si>
    <t>Capital Expenditures (costs)</t>
  </si>
  <si>
    <t xml:space="preserve">Rest BMP ID, type, class,  number of BMPs, impervious acres, built date, implementation cost and implementation status should match the various geodatabase tables for BMPs (AltBMPLine, AltBMPPoint, AltBMPPoly, and RestBMP)-- aggregated by type and status. </t>
  </si>
  <si>
    <t>*Insert additional rows as necessary.</t>
  </si>
  <si>
    <t>Other (please stipulate capital expenditure)*</t>
  </si>
  <si>
    <t>Address</t>
  </si>
  <si>
    <t>City</t>
  </si>
  <si>
    <t>State</t>
  </si>
  <si>
    <t>Zip</t>
  </si>
  <si>
    <t>PROJECTED IMPL YR</t>
  </si>
  <si>
    <t xml:space="preserve">Type, class, impervious acres, implementation cost and implementation status should match the various geodatabase tables for BMPs (AltBMPLine, AltBMPPoint, AltBMPPoly, and RestBMP)-- aggregated by type and status. </t>
  </si>
  <si>
    <t>Baseline:</t>
  </si>
  <si>
    <t>Compare total permit term paygo ISRP costs / subtotal permit term paygo sources:</t>
  </si>
  <si>
    <t>Compare total permit term ISRP costs / total permit term annual sources of funds:</t>
  </si>
  <si>
    <t>UP THRU</t>
  </si>
  <si>
    <t>***IMPL COST is a summation and not an average.</t>
  </si>
  <si>
    <t>Average Operations Complete To Date*</t>
  </si>
  <si>
    <t>Subtotal Capital Complete To Date</t>
  </si>
  <si>
    <t>Subtotal Other Complete To Date</t>
  </si>
  <si>
    <t>Total Complete to Date</t>
  </si>
  <si>
    <t>*IMPL COST is a summation and not an average.</t>
  </si>
  <si>
    <t>Average Operations Next Two Years (FY2019-FY2020)***</t>
  </si>
  <si>
    <t>Average Operations Permit Term (FY2014-FY2019)***</t>
  </si>
  <si>
    <t>Subtotal Capital Next Two Years (FY2019-FY2020)</t>
  </si>
  <si>
    <t>Subtotal Capital Permit Term (FY2014-FY2019)</t>
  </si>
  <si>
    <t>Subtotal Other Next Two Years (FY2019-FY2020)</t>
  </si>
  <si>
    <t>Subtotal Other Permit Term (FY2014-FY2019)</t>
  </si>
  <si>
    <t>FY 2021</t>
  </si>
  <si>
    <t>FY 2022</t>
  </si>
  <si>
    <t>FY 19-20*</t>
  </si>
  <si>
    <t>FY 2023</t>
  </si>
  <si>
    <t>CURRENT</t>
  </si>
  <si>
    <t xml:space="preserve">YEAR </t>
  </si>
  <si>
    <t>* Article 4-202.1(j)(2): Demonstration that county or municipality has sufficient funding in the current fiscal year and subsequent fiscal year budgets to meet its estimated cost for the 2-year period immediately following the filing date of the FAP.  Note that the appropriations and expenditures include time period up to FY 2020.</t>
  </si>
  <si>
    <t>** Revenue means "dedicated revenues, funds, or sources of funds (per Article 4-202.1(j)(4)(ii). Note that budget appropriations have only been approved by governing bodies through FY 2018 at the time of FAP reporting.</t>
  </si>
  <si>
    <t>Debt Service (paygo sources will be used to pay off debt service.  Note that previous appropriations for debt service used for ISRP is listed in FY 2017).</t>
  </si>
  <si>
    <t>Article 4-202.1(j)(1)(i)1: Actions that will be required of the county or municipality to meet the requirements of its National Pollutant Discharge Elimination System Phase I Municipal Separate Storm Sewer System Permit.</t>
  </si>
  <si>
    <t>Operational Programs</t>
  </si>
  <si>
    <t>Article 4-202.1(j)(1)(i)2: Projected annual and 5-year costs for the county or municipality to meet the impervious surface restoration plan requirements of its National Pollutant Discharge Elimination System Phase I Municipal Separate Storm Sewer System Permit.</t>
  </si>
  <si>
    <t>Article 4-202.1(j)(1)(i)3: Projected annual and 5-year revenues or other funds that will be used to meet the cost for the county or municipality to meet the impervious surface restoration plan requirements under the National Pollutant Discharge Elimination System Phase I Municipal Separate Storm Sewer System Permit.</t>
  </si>
  <si>
    <t>Article 4-202.1(j)(1)(i)4: Any sources of funds that will be utilized by the county or municipality to meet the requirements of its National Pollutant Discharge Elimination System Phase I Municipal Separate Storm Sewer System Permit.</t>
  </si>
  <si>
    <t>Article 4-202.1(j)(1)(i)5: Specific actions and expenditures that the county or municipality implemented in the previous fiscal years to meet its impervious surface restoration plan requirements under its National Pollutant Discharge Elimination System Phase I Municipal Separate Storm Sewer System Permit.</t>
  </si>
  <si>
    <t>Compare revenue appropriated / annual costs:</t>
  </si>
  <si>
    <t>The total sources related to WPR Funds in Current FY 2018 should march the "WPR_Fund" field of the geodatabase.</t>
  </si>
  <si>
    <t>The total current FY 2018 expenditure should be less than the combined total of the "OP_cost" and "CAP_Cost" fields in the fiscal analyses table of the geodatabase.</t>
  </si>
  <si>
    <t>The total projected FY 2019 expenditure should be less than the combined total of the "OP_budget" and "CAP_budget" fields in the fiscal analyses table of the geodatabase.</t>
  </si>
  <si>
    <t>VERSION 2-28-18</t>
  </si>
  <si>
    <t>Total Permit Term 
(FY2014-FY2019)</t>
  </si>
  <si>
    <t>FY 2017</t>
  </si>
  <si>
    <t>YEAR</t>
  </si>
  <si>
    <t>Note: To identify all "actions" required under the MS4 permit, provide an executive summary of the jurisdiction's MS4 programs.  See MDE's FAP Guidance. For proposed actions to meet the impervious surface restoration plan, fill in the table below.</t>
  </si>
  <si>
    <t>Total Next Two Years 
(FY2019-FY2020)</t>
  </si>
  <si>
    <t>Baseline Treatment Requirement (Acres)</t>
  </si>
  <si>
    <t>Average Operations Permit Term and Projected Years (FY2014-FY2023)***</t>
  </si>
  <si>
    <t>Subtotal Capital Permit Term and Projected Years 
(FY2014-FY2023)</t>
  </si>
  <si>
    <t>Total Permit Term and Projected Years            
(FY2014-FY2023)</t>
  </si>
  <si>
    <t>Subtotal Other Permit Term and Projected Years 
(FY2014-FY2023)</t>
  </si>
  <si>
    <t>Anne Arundel County</t>
  </si>
  <si>
    <t>Erik Michelsen</t>
  </si>
  <si>
    <t>410-222-7520</t>
  </si>
  <si>
    <t>2662 Riva Road</t>
  </si>
  <si>
    <t>Annapolis</t>
  </si>
  <si>
    <t>MD</t>
  </si>
  <si>
    <t>pwmich20@aacounty.org</t>
  </si>
  <si>
    <t>11-DP-3316 MD0068306</t>
  </si>
  <si>
    <t>AA16RST000055</t>
  </si>
  <si>
    <t>AA16RST000039</t>
  </si>
  <si>
    <t>AA16RST000085</t>
  </si>
  <si>
    <t>AA17RST000015</t>
  </si>
  <si>
    <t>AA16RST000050</t>
  </si>
  <si>
    <t>AA17RST000018</t>
  </si>
  <si>
    <t>AA16RST000054</t>
  </si>
  <si>
    <t>AA16RST000046</t>
  </si>
  <si>
    <t>AA18RST000001</t>
  </si>
  <si>
    <t>AA17RST000023</t>
  </si>
  <si>
    <t>AA16RST000048</t>
  </si>
  <si>
    <t>PWED</t>
  </si>
  <si>
    <t>SPSC</t>
  </si>
  <si>
    <t>MRNG</t>
  </si>
  <si>
    <t>WPWS</t>
  </si>
  <si>
    <t>WPKT</t>
  </si>
  <si>
    <t>WSHW</t>
  </si>
  <si>
    <t>IBAS</t>
  </si>
  <si>
    <t>WEDW</t>
  </si>
  <si>
    <t>Complete</t>
  </si>
  <si>
    <t>AA16RST000058</t>
  </si>
  <si>
    <t>AA16RST000051</t>
  </si>
  <si>
    <t>AA16RST000042</t>
  </si>
  <si>
    <t>AA16RST000056</t>
  </si>
  <si>
    <t>AA16RST000052</t>
  </si>
  <si>
    <t>AA16RST000010</t>
  </si>
  <si>
    <t>AA16RST000011</t>
  </si>
  <si>
    <t>AA16RST000071</t>
  </si>
  <si>
    <t>AA16RST000012</t>
  </si>
  <si>
    <t>AA16RST000034</t>
  </si>
  <si>
    <t>AA16RST000013</t>
  </si>
  <si>
    <t>AA16RST000014</t>
  </si>
  <si>
    <t>AA16RST000015</t>
  </si>
  <si>
    <t>AA16RST000016</t>
  </si>
  <si>
    <t>AA16RST000031</t>
  </si>
  <si>
    <t>AA16RST000017</t>
  </si>
  <si>
    <t>AA16RST000018</t>
  </si>
  <si>
    <t>AA16RST000019</t>
  </si>
  <si>
    <t>AA16RST000029</t>
  </si>
  <si>
    <t>AA16RST000020</t>
  </si>
  <si>
    <t>AA16RST000021</t>
  </si>
  <si>
    <t>AA16RST000022</t>
  </si>
  <si>
    <t>AA16RST000023</t>
  </si>
  <si>
    <t>AA16RST000024</t>
  </si>
  <si>
    <t>AA16RST000025</t>
  </si>
  <si>
    <t>AA16RST000026</t>
  </si>
  <si>
    <t>AA16RST000027</t>
  </si>
  <si>
    <t>AA16RST000030</t>
  </si>
  <si>
    <t>AA16RST000028</t>
  </si>
  <si>
    <t>AA16RST000032</t>
  </si>
  <si>
    <t>AA16RST000089</t>
  </si>
  <si>
    <t>AA16RST000090</t>
  </si>
  <si>
    <t>AA16RST000088</t>
  </si>
  <si>
    <t>AA16RST000093</t>
  </si>
  <si>
    <t>AA16RST000094</t>
  </si>
  <si>
    <t>AA16RST000091</t>
  </si>
  <si>
    <t>AA16RST000092</t>
  </si>
  <si>
    <t>AA16RST000033</t>
  </si>
  <si>
    <t>AA16RST000002</t>
  </si>
  <si>
    <t>AA16RST000003</t>
  </si>
  <si>
    <t>AA16RST000004</t>
  </si>
  <si>
    <t>AA16RST000005</t>
  </si>
  <si>
    <t>AA16RST000007</t>
  </si>
  <si>
    <t>AA16RST000006</t>
  </si>
  <si>
    <t>AA16RST000008</t>
  </si>
  <si>
    <t>AA16RST000001</t>
  </si>
  <si>
    <t>AA16RST000073</t>
  </si>
  <si>
    <t>PWET</t>
  </si>
  <si>
    <t>PMPS</t>
  </si>
  <si>
    <t>PMED</t>
  </si>
  <si>
    <t>FBIO</t>
  </si>
  <si>
    <t>MSWB</t>
  </si>
  <si>
    <t>AA16RST000070</t>
  </si>
  <si>
    <t>AA16RST000072</t>
  </si>
  <si>
    <t>AA16RST000040</t>
  </si>
  <si>
    <t>AA16RST000035</t>
  </si>
  <si>
    <t>AA16RST000041</t>
  </si>
  <si>
    <t>AA16RST000038</t>
  </si>
  <si>
    <t>AA16RST000036</t>
  </si>
  <si>
    <t>AA16RST000037</t>
  </si>
  <si>
    <t>AA16RST000045</t>
  </si>
  <si>
    <t>AA17RST000025</t>
  </si>
  <si>
    <t>AA16RST000067</t>
  </si>
  <si>
    <t>AA16RST000068</t>
  </si>
  <si>
    <t>AA17RST000026</t>
  </si>
  <si>
    <t>AA17RST000027</t>
  </si>
  <si>
    <t>AA17RST000028</t>
  </si>
  <si>
    <t>AA17RST000029</t>
  </si>
  <si>
    <t>AA16RST000086</t>
  </si>
  <si>
    <t>AA17RST000033</t>
  </si>
  <si>
    <t>AA17RST000034</t>
  </si>
  <si>
    <t>AA17RST000035</t>
  </si>
  <si>
    <t>AA17RST000049</t>
  </si>
  <si>
    <t>AA17RST000050</t>
  </si>
  <si>
    <t>AA17RST000051</t>
  </si>
  <si>
    <t>AA16RST000075</t>
  </si>
  <si>
    <t>AA16RST000078</t>
  </si>
  <si>
    <t>AA16RST000081</t>
  </si>
  <si>
    <t>AA17RST000030</t>
  </si>
  <si>
    <t>AA16RST000079</t>
  </si>
  <si>
    <t>AA16RST000080</t>
  </si>
  <si>
    <t>AA17RST000031</t>
  </si>
  <si>
    <t>AA17RST000014</t>
  </si>
  <si>
    <t>AA17RST000013</t>
  </si>
  <si>
    <t>AA17RST000012</t>
  </si>
  <si>
    <t>AA17RST000016</t>
  </si>
  <si>
    <t>AA17RST000017</t>
  </si>
  <si>
    <t>AA17RST000019</t>
  </si>
  <si>
    <t>AA17RST000020</t>
  </si>
  <si>
    <t>FSND</t>
  </si>
  <si>
    <t>ITRN</t>
  </si>
  <si>
    <t>APRP</t>
  </si>
  <si>
    <t>AA18RST000024</t>
  </si>
  <si>
    <t>AA18RST000020</t>
  </si>
  <si>
    <t>AA18RST000004</t>
  </si>
  <si>
    <t>MSWG</t>
  </si>
  <si>
    <t>AA18RST000025</t>
  </si>
  <si>
    <t>AA18RST000026</t>
  </si>
  <si>
    <t>AA18RST000027</t>
  </si>
  <si>
    <t>Killarney House &amp; Neighbors Beards Creek Community BMPs</t>
  </si>
  <si>
    <t>Twin Harbors Community Bioretention (Arnold/Magothy River)</t>
  </si>
  <si>
    <t>Wee Lad &amp; Lassie Early Learning Center Rain Garden</t>
  </si>
  <si>
    <t>Edgewater Beach Bioswale</t>
  </si>
  <si>
    <t>Edgewater Beach Grass Swale</t>
  </si>
  <si>
    <t>HSIA Stormater BMP</t>
  </si>
  <si>
    <t>Sylvan Shores Stormwater Infrastructure Upgrade - System B, Bioretention 1</t>
  </si>
  <si>
    <t>Sylvan Shores Stormwater Infrastructure Upgrade - System B, Bioretention 2</t>
  </si>
  <si>
    <t>Sylvan Shores Stormwater Infrastructure Upgrade - System B, Bioretention 3</t>
  </si>
  <si>
    <t>Bodkin Creek Public Pnds Ph1</t>
  </si>
  <si>
    <t>AA16RST000082</t>
  </si>
  <si>
    <t>Broad Creek Health Dept gully - Trib 4-8</t>
  </si>
  <si>
    <t>HOSPITAL DRIVE EXTENSION</t>
  </si>
  <si>
    <t>AA16ALN000014</t>
  </si>
  <si>
    <t>AA16ALN000021</t>
  </si>
  <si>
    <t>AA16ALN000030</t>
  </si>
  <si>
    <t>AA16ALN000013</t>
  </si>
  <si>
    <t>AA16ALN000007</t>
  </si>
  <si>
    <t>AA16ALN000022</t>
  </si>
  <si>
    <t>AA16ALN000006</t>
  </si>
  <si>
    <t>AA16ALN000005</t>
  </si>
  <si>
    <t>AA17ALN000005</t>
  </si>
  <si>
    <t>AA17ALN000006</t>
  </si>
  <si>
    <t>Church Creek Wetland</t>
  </si>
  <si>
    <t>North Branch Muddy Creek</t>
  </si>
  <si>
    <t>Annapolis Harbour Center Stream Restoration</t>
  </si>
  <si>
    <t>Poplar Point Wetland (Church Creek Gully)</t>
  </si>
  <si>
    <t>Duvall Creek Outfall Retrofit</t>
  </si>
  <si>
    <t>Cell 9 stream restoration</t>
  </si>
  <si>
    <t xml:space="preserve">Dividing Creek Strm Rstn </t>
  </si>
  <si>
    <t>Warehouse Creek Otfl Retrofit</t>
  </si>
  <si>
    <t>Navy Dairy Farm Stream Restoration</t>
  </si>
  <si>
    <t>Four Seasons stream repair</t>
  </si>
  <si>
    <t>AA18ALN000009</t>
  </si>
  <si>
    <t>Annapolis Corporate Park Stream Restoration</t>
  </si>
  <si>
    <t>STRE</t>
  </si>
  <si>
    <t>AA18ALN000020</t>
  </si>
  <si>
    <t>Bacon Ridge Stream Restoration 1</t>
  </si>
  <si>
    <t>Oakview Village Southern Tributary</t>
  </si>
  <si>
    <t>Under Construction</t>
  </si>
  <si>
    <t>MMBR</t>
  </si>
  <si>
    <t>Patapsco Tdl Public Pnds Ph1</t>
  </si>
  <si>
    <t>A</t>
  </si>
  <si>
    <t>VSS</t>
  </si>
  <si>
    <t>FY16</t>
  </si>
  <si>
    <t>FY17</t>
  </si>
  <si>
    <t>FY18</t>
  </si>
  <si>
    <t>GAPGALLION</t>
  </si>
  <si>
    <t>SAINT ANDREWS UNITED METHODIST CHURCH</t>
  </si>
  <si>
    <t>Hospital Dr. Pond 3 Retrofit</t>
  </si>
  <si>
    <t>MERRIWEATHER #2</t>
  </si>
  <si>
    <t>Anne Arundel Community College Bioretention</t>
  </si>
  <si>
    <t>Cinnamon Lane Otfl</t>
  </si>
  <si>
    <t>Picture Springs Branch Otfl</t>
  </si>
  <si>
    <t>Buttonwood Trail Otfl</t>
  </si>
  <si>
    <t>Camp Woodlands Pre-Treatment</t>
  </si>
  <si>
    <t>Annapolis Harbour Center SPSC</t>
  </si>
  <si>
    <t>Annapolis Corporate Park SPSC #1</t>
  </si>
  <si>
    <t>Annapolis Corporate Park SPSC #2</t>
  </si>
  <si>
    <t>Grosvenor Lane Bioretention</t>
  </si>
  <si>
    <t xml:space="preserve">Arundel on the Bay Bioswale </t>
  </si>
  <si>
    <t>Arundel on the Bay Pocket Wetland</t>
  </si>
  <si>
    <t>Hillsmere - Beach Drive Kayak Area CPO / Bioretention</t>
  </si>
  <si>
    <t>Hillsmere Community Pool Bioretention</t>
  </si>
  <si>
    <t>Historic London Town Step Pools and Rain Garden</t>
  </si>
  <si>
    <t>Preserve at Broad Creek Pond Retrofit &amp; SPSC</t>
  </si>
  <si>
    <t>Maryland Therapeutic Riding Center</t>
  </si>
  <si>
    <t>OAKLEAF VILLA I</t>
  </si>
  <si>
    <t>VALENTINE CREEK</t>
  </si>
  <si>
    <t>FERNDALE FARMS</t>
  </si>
  <si>
    <t>LINTHICUM OAKS #2</t>
  </si>
  <si>
    <t>WELLHAM HEIGHTS</t>
  </si>
  <si>
    <t>NEW CUT FARMS</t>
  </si>
  <si>
    <t>Dellwood Ct Otfl</t>
  </si>
  <si>
    <t>Pinewood Rd Sd(D537923-Design)</t>
  </si>
  <si>
    <t>Cypress Creek Recreation Bioretention</t>
  </si>
  <si>
    <t>Cypress Creek Park and Ride Bioretention</t>
  </si>
  <si>
    <t>Peach Orchard SWM Retrofit</t>
  </si>
  <si>
    <t>Dunkeld Manor SWM Retrofit</t>
  </si>
  <si>
    <t>Grays Luck SWMP Retrofit</t>
  </si>
  <si>
    <t>Windswept Estates Pond Retrofit</t>
  </si>
  <si>
    <t>32 Wilelinor Drive Outfall</t>
  </si>
  <si>
    <t>Northrup Grumman bioswale -1</t>
  </si>
  <si>
    <t>Northrup Grumman pervious pavement - 1</t>
  </si>
  <si>
    <t>Northrup Grumman pervious pavement - 2</t>
  </si>
  <si>
    <t>Northrup Grumman pervious pavement - 3A-1</t>
  </si>
  <si>
    <t>Northrup Grumman pervious pavement - 3A-2</t>
  </si>
  <si>
    <t>Northrup Grumman pervious pavement - 3B</t>
  </si>
  <si>
    <t>Northrup Grumman raingarden</t>
  </si>
  <si>
    <t>Empowering Believers Rain Garden 1</t>
  </si>
  <si>
    <t>Empowering Believers Rain Garden 2</t>
  </si>
  <si>
    <t>Empowering Believers Rain Garden 6</t>
  </si>
  <si>
    <t>Coventry Court Dry Channel RSC- Category 2</t>
  </si>
  <si>
    <t>Bonaparte Rd Bioswale and CPO Project</t>
  </si>
  <si>
    <t>St. Anne's School of Annapolis Rain Garden</t>
  </si>
  <si>
    <t>Avalon Shores Fire Department Stormwater Wetland</t>
  </si>
  <si>
    <t>Wil-o-Brook Drive</t>
  </si>
  <si>
    <t>Round Bay Community- Randell Road: Stormwater Mitigation Project</t>
  </si>
  <si>
    <t>Bodkin Creek Public Pnds Ph3</t>
  </si>
  <si>
    <t>Winchester on the Severn Dry Channel RSC</t>
  </si>
  <si>
    <t>TriState Marine Stormwater Retrofit System</t>
  </si>
  <si>
    <t xml:space="preserve">Sawmill Crk Hollins Ferry Rd </t>
  </si>
  <si>
    <t>Patapsco Tdl Public Pds Ph5</t>
  </si>
  <si>
    <t>BRIARWOOD</t>
  </si>
  <si>
    <t xml:space="preserve">Lp-Pc Public Ponds </t>
  </si>
  <si>
    <t>AA18RST000034</t>
  </si>
  <si>
    <t>AA18RST000035</t>
  </si>
  <si>
    <t>AA18RST000032</t>
  </si>
  <si>
    <t>AA18RST000031</t>
  </si>
  <si>
    <t>AA18RST000021</t>
  </si>
  <si>
    <t>CIP Recoveries and Other Rev.</t>
  </si>
  <si>
    <t>CBC</t>
  </si>
  <si>
    <t>SEPC</t>
  </si>
  <si>
    <t>SEPD</t>
  </si>
  <si>
    <t>SHST</t>
  </si>
  <si>
    <t>Planning</t>
  </si>
  <si>
    <t>OUT</t>
  </si>
  <si>
    <t>Leeds Road</t>
  </si>
  <si>
    <t>FOREST DRIVE STREAM RESTORATION</t>
  </si>
  <si>
    <t>HASKELL DRIVE STREAM RESTORATION</t>
  </si>
  <si>
    <t>AA14ALN000002</t>
  </si>
  <si>
    <t>AA14ALN000001</t>
  </si>
  <si>
    <t>AA15ALN000002</t>
  </si>
  <si>
    <t>Whiskey Bottom Road</t>
  </si>
  <si>
    <t>Fox Cub Court</t>
  </si>
  <si>
    <t>Annapolis Harbour Center Dr;</t>
  </si>
  <si>
    <t>139 Foxwell Bend Rd. (across Hospital Dr.); currently under construction as of 8-3-17</t>
  </si>
  <si>
    <t>AA14RST000103</t>
  </si>
  <si>
    <t>AA14RST000100</t>
  </si>
  <si>
    <t>AA14RST000102</t>
  </si>
  <si>
    <t>AA14RST000105</t>
  </si>
  <si>
    <t>AA14RST000106</t>
  </si>
  <si>
    <t>AA14RST000107</t>
  </si>
  <si>
    <t>AA14RST000098</t>
  </si>
  <si>
    <t>AA14RST000101</t>
  </si>
  <si>
    <t>AA15RST000096</t>
  </si>
  <si>
    <t>AA15RST000086</t>
  </si>
  <si>
    <t>AA15RST000094</t>
  </si>
  <si>
    <t>AA15RST000089</t>
  </si>
  <si>
    <t>AA15RST000097</t>
  </si>
  <si>
    <t>AA15RST000090</t>
  </si>
  <si>
    <t>AA15RST000085</t>
  </si>
  <si>
    <t>AA15RST000087</t>
  </si>
  <si>
    <t>AA15RST000091</t>
  </si>
  <si>
    <t>AA15RST000095</t>
  </si>
  <si>
    <t>AA15RST000088</t>
  </si>
  <si>
    <t>AA15RST000093</t>
  </si>
  <si>
    <t>Tarks Lane Pond Retrofit</t>
  </si>
  <si>
    <t>Copperwood Ct Pond Retrofit</t>
  </si>
  <si>
    <t>Lahinch Ct SWM Pond Retrofit</t>
  </si>
  <si>
    <t>Collington Court Pond Retrofit</t>
  </si>
  <si>
    <t>Mayfield Rd and Gladnor Rd Pond Retrofit</t>
  </si>
  <si>
    <t>Amesbury Ct. Pond Retrofit</t>
  </si>
  <si>
    <t>Longfellow Drive Pond Retrofit</t>
  </si>
  <si>
    <t>Sylvan Ave Pond Retrofit</t>
  </si>
  <si>
    <t>Finnegan Dr Pond Retrofit</t>
  </si>
  <si>
    <t>Evon Ct Pond Retrofit</t>
  </si>
  <si>
    <t>109 Chelsea Grove Ct Pond Retrofit</t>
  </si>
  <si>
    <t>Waycross Way Pond Retrofit</t>
  </si>
  <si>
    <t>Wetherfield Pond SWM Retrofit</t>
  </si>
  <si>
    <t>Old Annapolis Neck Road</t>
  </si>
  <si>
    <t>Earleigh Heights Rd at B&amp;A Trail Pond Retrofit</t>
  </si>
  <si>
    <t>Colleen Garden/Severndale GST Pond Retrofit</t>
  </si>
  <si>
    <t>244 Kennedy Drive Pond Retrofit</t>
  </si>
  <si>
    <t>Dillon Court Pond Retrofit</t>
  </si>
  <si>
    <t>Colleen Garden Ln Pond Retrofit</t>
  </si>
  <si>
    <t>Western District Police Station</t>
  </si>
  <si>
    <t>Rochester Court</t>
  </si>
  <si>
    <t>632 Sandy Ridge Drive</t>
  </si>
  <si>
    <t>O'Malley Senior Center - 1275 Odenton Road</t>
  </si>
  <si>
    <t>102 Mountain Road</t>
  </si>
  <si>
    <t>1506 Lochaber Court</t>
  </si>
  <si>
    <t>Hilltop Road</t>
  </si>
  <si>
    <t>Dividing Creek Pond Retrofit</t>
  </si>
  <si>
    <t>8013 Tickneck Road</t>
  </si>
  <si>
    <t>603 Deering Road</t>
  </si>
  <si>
    <t>1550 Comanche Road</t>
  </si>
  <si>
    <t>48 Old Sturbridge Road</t>
  </si>
  <si>
    <t>1681 Nickerson Way</t>
  </si>
  <si>
    <t>401 Music Lane</t>
  </si>
  <si>
    <t>7900 Severn Hills Way</t>
  </si>
  <si>
    <t>17 McNeil Court</t>
  </si>
  <si>
    <t>402 Music Lane Small Pond</t>
  </si>
  <si>
    <t>725 Bridge Drive</t>
  </si>
  <si>
    <t>806 Central Avenue</t>
  </si>
  <si>
    <t>Loch Haven Road &amp; Havenhill Road</t>
  </si>
  <si>
    <t>Courts at Four Seasons</t>
  </si>
  <si>
    <t>Wordsworth Drive</t>
  </si>
  <si>
    <t>Sharpsburg Dr</t>
  </si>
  <si>
    <t>Tulip Oak Ct</t>
  </si>
  <si>
    <t xml:space="preserve">Sappington Drive </t>
  </si>
  <si>
    <t>Fairfield Drive</t>
  </si>
  <si>
    <t>AA14RST000099</t>
  </si>
  <si>
    <t>AA14RST000108</t>
  </si>
  <si>
    <t>AA15RST000092</t>
  </si>
  <si>
    <t>AA15RST000101</t>
  </si>
  <si>
    <t>AA15RST000102</t>
  </si>
  <si>
    <t>AA15RST000098</t>
  </si>
  <si>
    <t>part of 24</t>
  </si>
  <si>
    <t>part of 2478</t>
  </si>
  <si>
    <t>1510 Knollwood Road</t>
  </si>
  <si>
    <t>Southdown Road Stream Restoration</t>
  </si>
  <si>
    <t>Southdown Road Outfall Restoration 1</t>
  </si>
  <si>
    <t>Southdown Road Outfall Restoration 2</t>
  </si>
  <si>
    <t>Southdown Road Outfall Restoration 3</t>
  </si>
  <si>
    <t>Southdown Road Outfall Restoration 4</t>
  </si>
  <si>
    <t>Buena Vista Outfall Restoration Phase 2</t>
  </si>
  <si>
    <t>Old Bay Ridge Rd/Abandoned RR Embankment Sinkhole</t>
  </si>
  <si>
    <t>Olde Severna Park Outfall Retrofit Birch Court</t>
  </si>
  <si>
    <t>Denington Lane Outfall</t>
  </si>
  <si>
    <t>Firefly Run South Cul-de-sac</t>
  </si>
  <si>
    <t>Isabella Court</t>
  </si>
  <si>
    <t>SEPP</t>
  </si>
  <si>
    <t>FY15</t>
  </si>
  <si>
    <t>FY14</t>
  </si>
  <si>
    <t>AA16ALN000023</t>
  </si>
  <si>
    <t>AA16ALN000024</t>
  </si>
  <si>
    <t>AA16ALN000025</t>
  </si>
  <si>
    <t>AA16ALN000026</t>
  </si>
  <si>
    <t>AA16ALN000027</t>
  </si>
  <si>
    <t>AA17ALN000012</t>
  </si>
  <si>
    <t>AA17ALN000013</t>
  </si>
  <si>
    <t>AA17ALN000014</t>
  </si>
  <si>
    <t>AA17ALN000015</t>
  </si>
  <si>
    <t>Locust Dr</t>
  </si>
  <si>
    <t>Puffin Ct</t>
  </si>
  <si>
    <t>Seaborne Dr. </t>
  </si>
  <si>
    <t>Arundel Ave.</t>
  </si>
  <si>
    <t>Tam Glade</t>
  </si>
  <si>
    <t>Old Mill Rd at Patriot Ln</t>
  </si>
  <si>
    <t xml:space="preserve">680 209th St </t>
  </si>
  <si>
    <t>Monaghan_7764</t>
  </si>
  <si>
    <t>WOODLAND MANOR DR</t>
  </si>
  <si>
    <t>Bacon Ridge Groundwater Recharge Micro-BMP: Category 2</t>
  </si>
  <si>
    <t>1020 Plum Creek Drive Living Shoreline</t>
  </si>
  <si>
    <t>1024 Sandpiper Ln Living Shoreline</t>
  </si>
  <si>
    <t>1084 Trails End Rd Living Shoreline</t>
  </si>
  <si>
    <t>1107 Bay Front Ave Living Shoreline</t>
  </si>
  <si>
    <t>111 Park Ave Living Shoreline</t>
  </si>
  <si>
    <t>1290 Turkey Point Rd Living Shoreline</t>
  </si>
  <si>
    <t>1301 Wrenn Cir Living Shoreline</t>
  </si>
  <si>
    <t>1441 Pleasant Lake Rd Rock Revetment</t>
  </si>
  <si>
    <t>1555 Widows Mite Rd Rock Revetment</t>
  </si>
  <si>
    <t>1556 And 1557 Widows Mite Rd Living Shoreline</t>
  </si>
  <si>
    <t>1700 Beech Lane Rock Revetment</t>
  </si>
  <si>
    <t>1832, 1828, 1829 Cove Point Rd Living Shoreline</t>
  </si>
  <si>
    <t>1845 Poplar Ridge Rd Rock Revetment</t>
  </si>
  <si>
    <t>190 Doncaster Road Rock Revetment</t>
  </si>
  <si>
    <t>1916 Hidden Point Rd Living Shoreline</t>
  </si>
  <si>
    <t>258 Long Point Rd Rock Revetment</t>
  </si>
  <si>
    <t>266 Providence Rd Rock Revetment</t>
  </si>
  <si>
    <t>2674 Claibourne Court Living Shoreline</t>
  </si>
  <si>
    <t>271 Long Point Rd Living Shoreline</t>
  </si>
  <si>
    <t>2756 Poplar Ln Living Shoreline</t>
  </si>
  <si>
    <t>2835 White House Rd Living Shoreline</t>
  </si>
  <si>
    <t>308 Boxwood Grove Lane Living Shoreline</t>
  </si>
  <si>
    <t>33 Stahl Point Rd Living Shoreline</t>
  </si>
  <si>
    <t>3741 Parke Drive Living Shoreline</t>
  </si>
  <si>
    <t>4512 Forest Point Road Living Shoreline</t>
  </si>
  <si>
    <t>4800 Westward View Rd Living Shoreline</t>
  </si>
  <si>
    <t>5044 Lerch Dr Rock Revetment</t>
  </si>
  <si>
    <t>508 Overhill Drive Rock Revetment</t>
  </si>
  <si>
    <t>511 Deale Rd Rock Revetment</t>
  </si>
  <si>
    <t>513 Bayberry Drive Living Shoreline</t>
  </si>
  <si>
    <t>5187 Chesapeake Avenue Living Shoreline</t>
  </si>
  <si>
    <t>5905 Deale Beach Rd Living Shoreline</t>
  </si>
  <si>
    <t>603 Lakeland Rd S Living Shoreline</t>
  </si>
  <si>
    <t>663 Shore Road Rock Revetment</t>
  </si>
  <si>
    <t>751 Parkers Creek Rd Living Shoreline</t>
  </si>
  <si>
    <t>835 Valentine View Rock Revetment</t>
  </si>
  <si>
    <t>838 Childs Point Road Rock Revetment</t>
  </si>
  <si>
    <t>854, 855, 858 Wilson Rd N Rock Revetment</t>
  </si>
  <si>
    <t>906 Shore Drive Living Shoreline</t>
  </si>
  <si>
    <t>Atlanta Rd Rock Revetment</t>
  </si>
  <si>
    <t>Bear Neck Creek Living Shoreline</t>
  </si>
  <si>
    <t>Brewers Pond Shoreline Protection</t>
  </si>
  <si>
    <t>Cloverlea Boat Club Living Shoreline</t>
  </si>
  <si>
    <t>Lake Ogleton (Annapolis Cove) Living Shoreline</t>
  </si>
  <si>
    <t>Living Shoreline at The Preserve at Broad Creek and Broadview Estates</t>
  </si>
  <si>
    <t xml:space="preserve">Londontowne Property Owners Association -  Section 5 Living Shoreline </t>
  </si>
  <si>
    <t>Pines on the Severn Living Shoreline</t>
  </si>
  <si>
    <t>Popham Creek Living Shoreline</t>
  </si>
  <si>
    <t>Quiet Waters Shoreline Protection</t>
  </si>
  <si>
    <t>Stony Crk Otfl Locust Dr</t>
  </si>
  <si>
    <t>Thomas Point Living Shoreline</t>
  </si>
  <si>
    <t>Tomkies Living Shoreline</t>
  </si>
  <si>
    <t>Turkey Point Island Living Shoreline Project - Phase I</t>
  </si>
  <si>
    <t>Twin Harbors Community Living Shoreline (Arnold/Magothy River)</t>
  </si>
  <si>
    <t>Twin Harbors Living Shoreline</t>
  </si>
  <si>
    <t>YMCA Camp Letts Living Shoreline</t>
  </si>
  <si>
    <t>AA17ALN000030</t>
  </si>
  <si>
    <t>AA17ALN000021</t>
  </si>
  <si>
    <t>AA17ALN000049</t>
  </si>
  <si>
    <t>AA17ALN000024</t>
  </si>
  <si>
    <t>AA17ALN000026</t>
  </si>
  <si>
    <t>AA17ALN000055</t>
  </si>
  <si>
    <t>AA17ALN000020</t>
  </si>
  <si>
    <t>AA17ALN000046</t>
  </si>
  <si>
    <t>AA17ALN000056</t>
  </si>
  <si>
    <t>AA17ALN000037</t>
  </si>
  <si>
    <t>AA17ALN000041</t>
  </si>
  <si>
    <t>AA17ALN000028</t>
  </si>
  <si>
    <t>AA17ALN000044</t>
  </si>
  <si>
    <t>AA17ALN000035</t>
  </si>
  <si>
    <t>AA17ALN000025</t>
  </si>
  <si>
    <t>AA17ALN000034</t>
  </si>
  <si>
    <t>AA17ALN000053</t>
  </si>
  <si>
    <t>AA17ALN000029</t>
  </si>
  <si>
    <t>AA17ALN000048</t>
  </si>
  <si>
    <t>AA17ALN000023</t>
  </si>
  <si>
    <t>AA17ALN000022</t>
  </si>
  <si>
    <t>AA17ALN000040</t>
  </si>
  <si>
    <t>AA17ALN000027</t>
  </si>
  <si>
    <t>AA17ALN000039</t>
  </si>
  <si>
    <t>AA17ALN000043</t>
  </si>
  <si>
    <t>AA17ALN000036</t>
  </si>
  <si>
    <t>AA17ALN000057</t>
  </si>
  <si>
    <t>AA17ALN000051</t>
  </si>
  <si>
    <t>AA17ALN000045</t>
  </si>
  <si>
    <t>AA17ALN000052</t>
  </si>
  <si>
    <t>AA17ALN000031</t>
  </si>
  <si>
    <t>AA17ALN000050</t>
  </si>
  <si>
    <t>AA17ALN000019</t>
  </si>
  <si>
    <t>AA17ALN000054</t>
  </si>
  <si>
    <t>AA17ALN000038</t>
  </si>
  <si>
    <t>AA17ALN000047</t>
  </si>
  <si>
    <t>AA17ALN000033</t>
  </si>
  <si>
    <t>AA17ALN000032</t>
  </si>
  <si>
    <t>AA17ALN000042</t>
  </si>
  <si>
    <t>AA17ALN000058</t>
  </si>
  <si>
    <t>AA15ALN000011</t>
  </si>
  <si>
    <t>AA17ALN000003</t>
  </si>
  <si>
    <t>AA16ALN000017</t>
  </si>
  <si>
    <t>AA16ALN000016</t>
  </si>
  <si>
    <t>AA17ALN000001</t>
  </si>
  <si>
    <t>AA17ALN000002</t>
  </si>
  <si>
    <t>AA15ALN000008</t>
  </si>
  <si>
    <t>AA15ALN000009</t>
  </si>
  <si>
    <t>AA16ALN000009</t>
  </si>
  <si>
    <t>AA18ALN000004</t>
  </si>
  <si>
    <t>AA17ALN000059</t>
  </si>
  <si>
    <t>AA16ALN000018</t>
  </si>
  <si>
    <t>AA17ALN000004</t>
  </si>
  <si>
    <t>AA18ALN000010</t>
  </si>
  <si>
    <t>AA16ALN000019</t>
  </si>
  <si>
    <t>AA15ALN000010</t>
  </si>
  <si>
    <t>FY19</t>
  </si>
  <si>
    <t>FY20</t>
  </si>
  <si>
    <t>FY21</t>
  </si>
  <si>
    <t>FY22</t>
  </si>
  <si>
    <t>FY23</t>
  </si>
  <si>
    <t>Proposed</t>
  </si>
  <si>
    <t>None of these after FY16</t>
  </si>
  <si>
    <t>FY12</t>
  </si>
  <si>
    <t>Revenue (WPRF) Bonds</t>
  </si>
  <si>
    <t>GRNT</t>
  </si>
  <si>
    <t>AA15ALN000012</t>
  </si>
  <si>
    <t>AA15ALN000013</t>
  </si>
  <si>
    <t>AA15ALN000014</t>
  </si>
  <si>
    <t>AA15ALN000015</t>
  </si>
  <si>
    <t>AA18RST000051</t>
  </si>
  <si>
    <t>AA18ALN000027</t>
  </si>
  <si>
    <t>E</t>
  </si>
  <si>
    <t>S</t>
  </si>
  <si>
    <t>AA15ALN000003</t>
  </si>
  <si>
    <t>AA15ALN000004</t>
  </si>
  <si>
    <t>AA18ALN000024</t>
  </si>
  <si>
    <t>AA18ALN000023</t>
  </si>
  <si>
    <t>1280 Rockhill Rd</t>
  </si>
  <si>
    <t>471 Blackshire Rd</t>
  </si>
  <si>
    <t>756 N Mesa Rd</t>
  </si>
  <si>
    <t>Columbine Ct</t>
  </si>
  <si>
    <t>Hawkins Rd</t>
  </si>
  <si>
    <t>Polling House Rd 775</t>
  </si>
  <si>
    <t>Rutland Rd</t>
  </si>
  <si>
    <t>Steffey Dr 100</t>
  </si>
  <si>
    <t>Sunrise Beach Rd</t>
  </si>
  <si>
    <t>Veterans Hwy @ Benfield</t>
  </si>
  <si>
    <t>AA17APY000477</t>
  </si>
  <si>
    <t>AA14APY000001</t>
  </si>
  <si>
    <t>AA18APY000001</t>
  </si>
  <si>
    <t>IMPP</t>
  </si>
  <si>
    <t>PEKIN ROAD IMPERVIOUS SURFACE REMOVAL</t>
  </si>
  <si>
    <t>Gingerville Woods HOA Tennis Court Removal</t>
  </si>
  <si>
    <t>AA18ALN000042</t>
  </si>
  <si>
    <t>Magothy Beach Improvement Association Living Shoreline</t>
  </si>
  <si>
    <t>AA18ALN000043</t>
  </si>
  <si>
    <t>Londontowne Section 3 Living Shoreline</t>
  </si>
  <si>
    <t>AA18ALN000044</t>
  </si>
  <si>
    <t>Cheston Point Living Shoreline</t>
  </si>
  <si>
    <t>AA18ALN000045</t>
  </si>
  <si>
    <t>2811 Deepwater Trl, Edgewater</t>
  </si>
  <si>
    <t>AA18ALN000048</t>
  </si>
  <si>
    <t>Londontowne Section 2 Shoreline - Delmar RD</t>
  </si>
  <si>
    <t>AA18ALN000046</t>
  </si>
  <si>
    <t>Tanyard Cove North Homeowners Association</t>
  </si>
  <si>
    <t>AA18ALN000047</t>
  </si>
  <si>
    <t>1405 Sharps Point Road</t>
  </si>
  <si>
    <t>AA18ALN000041</t>
  </si>
  <si>
    <t>AA18ALN000033</t>
  </si>
  <si>
    <t>AA18ALN000037</t>
  </si>
  <si>
    <t>AA18ALN000035</t>
  </si>
  <si>
    <t>AA18ALN000039</t>
  </si>
  <si>
    <t>AA18ALN000032</t>
  </si>
  <si>
    <t>AA18ALN000036</t>
  </si>
  <si>
    <t>AA18ALN000040</t>
  </si>
  <si>
    <t>AA18ALN000034</t>
  </si>
  <si>
    <t>AA18ALN000038</t>
  </si>
  <si>
    <t>AA18RST000053</t>
  </si>
  <si>
    <t>Seven Oaks Pond 341</t>
  </si>
  <si>
    <t>Other (General Fund Costs attributed to WPRF)*</t>
  </si>
  <si>
    <t>General Fund Bonds</t>
  </si>
  <si>
    <t>General Fund Indirect Subsidy</t>
  </si>
  <si>
    <t>WPRP Reporting Criteria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</si>
</sst>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_(&quot;$&quot;* #,##0_);_(&quot;$&quot;* \(#,##0\);_(&quot;$&quot;* &quot;-&quot;??_);_(@_)"/>
    <numFmt numFmtId="168" formatCode="0.0"/>
    <numFmt numFmtId="169" formatCode="#,##0.0"/>
    <numFmt numFmtId="170"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color indexed="8"/>
      <name val="Calibri"/>
      <family val="2"/>
    </font>
    <font>
      <sz val="10"/>
      <color indexed="8"/>
      <name val="Arial"/>
      <family val="2"/>
    </font>
    <font>
      <b/>
      <sz val="11"/>
      <name val="Calibri"/>
      <family val="2"/>
      <scheme val="minor"/>
    </font>
    <font>
      <sz val="11"/>
      <name val="Arial"/>
      <family val="2"/>
    </font>
    <font>
      <b/>
      <sz val="11"/>
      <name val="Arial"/>
      <family val="2"/>
    </font>
    <font>
      <sz val="11"/>
      <color theme="1"/>
      <name val="Arial"/>
      <family val="2"/>
    </font>
    <font>
      <sz val="11"/>
      <name val="Calibri"/>
      <family val="2"/>
      <scheme val="minor"/>
    </font>
    <font>
      <b/>
      <sz val="11"/>
      <color indexed="8"/>
      <name val="Calibri"/>
      <family val="2"/>
    </font>
    <font>
      <u/>
      <sz val="11"/>
      <color theme="11"/>
      <name val="Calibri"/>
      <family val="2"/>
      <scheme val="minor"/>
    </font>
    <font>
      <b/>
      <u/>
      <sz val="11"/>
      <color theme="1"/>
      <name val="Calibri"/>
      <family val="2"/>
      <scheme val="minor"/>
    </font>
    <font>
      <sz val="11"/>
      <color rgb="FF00B050"/>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gray0625"/>
    </fill>
    <fill>
      <patternFill patternType="solid">
        <fgColor theme="0"/>
        <bgColor indexed="64"/>
      </patternFill>
    </fill>
    <fill>
      <patternFill patternType="gray0625">
        <bgColor theme="0"/>
      </patternFill>
    </fill>
  </fills>
  <borders count="4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style="thin">
        <color indexed="64"/>
      </left>
      <right style="thin">
        <color auto="1"/>
      </right>
      <top style="thin">
        <color auto="1"/>
      </top>
      <bottom style="thin">
        <color theme="4" tint="0.39997558519241921"/>
      </bottom>
      <diagonal/>
    </border>
    <border>
      <left/>
      <right/>
      <top style="thin">
        <color theme="4" tint="0.39997558519241921"/>
      </top>
      <bottom style="thin">
        <color theme="4" tint="0.39997558519241921"/>
      </bottom>
      <diagonal/>
    </border>
  </borders>
  <cellStyleXfs count="2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379">
    <xf numFmtId="0" fontId="0" fillId="0" borderId="0" xfId="0"/>
    <xf numFmtId="0" fontId="0" fillId="0" borderId="2" xfId="0" applyBorder="1"/>
    <xf numFmtId="0" fontId="0" fillId="0" borderId="0" xfId="0" applyBorder="1"/>
    <xf numFmtId="0" fontId="0" fillId="0" borderId="0" xfId="0" applyFill="1" applyBorder="1"/>
    <xf numFmtId="0" fontId="4" fillId="0" borderId="0" xfId="3" applyFill="1" applyBorder="1" applyAlignment="1" applyProtection="1"/>
    <xf numFmtId="2" fontId="0" fillId="0" borderId="0" xfId="1" applyNumberFormat="1" applyFont="1" applyFill="1" applyBorder="1" applyAlignment="1">
      <alignment horizontal="left"/>
    </xf>
    <xf numFmtId="0" fontId="0" fillId="0" borderId="3" xfId="0" applyBorder="1"/>
    <xf numFmtId="0" fontId="0" fillId="0" borderId="3" xfId="0" applyBorder="1" applyAlignment="1">
      <alignment horizontal="left"/>
    </xf>
    <xf numFmtId="0" fontId="0" fillId="0" borderId="0" xfId="0" applyAlignment="1">
      <alignment horizontal="center" vertical="top" wrapText="1"/>
    </xf>
    <xf numFmtId="0" fontId="3" fillId="0" borderId="0" xfId="0" applyFont="1" applyFill="1" applyBorder="1" applyAlignment="1">
      <alignment horizontal="left" vertical="top" wrapText="1"/>
    </xf>
    <xf numFmtId="0" fontId="0" fillId="0" borderId="0" xfId="0" applyAlignment="1">
      <alignment horizontal="center"/>
    </xf>
    <xf numFmtId="0" fontId="3" fillId="0" borderId="0" xfId="0" applyFont="1"/>
    <xf numFmtId="165" fontId="0" fillId="0" borderId="0" xfId="0" applyNumberFormat="1" applyFont="1" applyFill="1" applyAlignment="1">
      <alignment horizontal="center"/>
    </xf>
    <xf numFmtId="0" fontId="5" fillId="0" borderId="0" xfId="4" applyFont="1" applyFill="1" applyBorder="1" applyAlignment="1">
      <alignment horizontal="right" wrapText="1"/>
    </xf>
    <xf numFmtId="164" fontId="0" fillId="0" borderId="6" xfId="0" applyNumberFormat="1" applyFont="1" applyBorder="1" applyAlignment="1">
      <alignment horizontal="center"/>
    </xf>
    <xf numFmtId="0" fontId="0" fillId="0" borderId="0" xfId="0" applyFont="1" applyFill="1" applyBorder="1" applyAlignment="1">
      <alignment horizontal="left" indent="1"/>
    </xf>
    <xf numFmtId="0" fontId="0" fillId="0" borderId="0" xfId="0" applyFont="1" applyBorder="1"/>
    <xf numFmtId="0" fontId="0" fillId="0" borderId="0" xfId="0" applyFont="1" applyFill="1" applyBorder="1"/>
    <xf numFmtId="14" fontId="0" fillId="0" borderId="0" xfId="0" applyNumberFormat="1" applyFont="1" applyFill="1" applyBorder="1"/>
    <xf numFmtId="0" fontId="5" fillId="0" borderId="0" xfId="4" applyFont="1" applyFill="1" applyBorder="1" applyAlignment="1">
      <alignment horizontal="center"/>
    </xf>
    <xf numFmtId="0" fontId="9" fillId="0" borderId="0" xfId="0" applyFont="1" applyFill="1" applyBorder="1" applyAlignment="1" applyProtection="1">
      <alignment horizontal="left" wrapText="1"/>
      <protection locked="0"/>
    </xf>
    <xf numFmtId="0" fontId="8" fillId="0" borderId="0" xfId="0" applyFont="1" applyFill="1" applyBorder="1" applyAlignment="1" applyProtection="1">
      <alignment horizontal="left"/>
      <protection locked="0"/>
    </xf>
    <xf numFmtId="0" fontId="0" fillId="0" borderId="0" xfId="0" applyFont="1"/>
    <xf numFmtId="0" fontId="10" fillId="0" borderId="0" xfId="0" applyFont="1" applyFill="1" applyBorder="1" applyAlignment="1" applyProtection="1">
      <alignment horizontal="left" wrapText="1"/>
      <protection locked="0"/>
    </xf>
    <xf numFmtId="0" fontId="0" fillId="0" borderId="0" xfId="0" applyFill="1"/>
    <xf numFmtId="0" fontId="3" fillId="0" borderId="0" xfId="0" applyFont="1" applyAlignment="1">
      <alignment horizontal="center" vertical="center" wrapText="1"/>
    </xf>
    <xf numFmtId="164" fontId="0" fillId="0" borderId="8" xfId="0" applyNumberFormat="1" applyFont="1" applyBorder="1" applyAlignment="1">
      <alignment horizontal="center"/>
    </xf>
    <xf numFmtId="0" fontId="2" fillId="0" borderId="0" xfId="0" applyFont="1"/>
    <xf numFmtId="0" fontId="0" fillId="2" borderId="6" xfId="0" applyFont="1" applyFill="1" applyBorder="1" applyAlignment="1">
      <alignment horizontal="center"/>
    </xf>
    <xf numFmtId="167" fontId="0" fillId="0" borderId="6" xfId="0" applyNumberFormat="1" applyFont="1" applyBorder="1" applyAlignment="1" applyProtection="1">
      <alignment horizontal="right"/>
      <protection locked="0"/>
    </xf>
    <xf numFmtId="167" fontId="0" fillId="2" borderId="6" xfId="0" applyNumberFormat="1" applyFont="1" applyFill="1" applyBorder="1" applyAlignment="1" applyProtection="1">
      <alignment horizontal="right"/>
      <protection locked="0"/>
    </xf>
    <xf numFmtId="167" fontId="0" fillId="0" borderId="7" xfId="0" applyNumberFormat="1" applyFont="1" applyBorder="1" applyAlignment="1" applyProtection="1">
      <alignment horizontal="right"/>
      <protection locked="0"/>
    </xf>
    <xf numFmtId="0" fontId="0" fillId="0" borderId="0" xfId="0" applyFont="1" applyFill="1" applyBorder="1" applyAlignment="1" applyProtection="1">
      <alignment horizontal="left"/>
      <protection locked="0"/>
    </xf>
    <xf numFmtId="0" fontId="7"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protection locked="0"/>
    </xf>
    <xf numFmtId="0" fontId="0" fillId="0" borderId="0" xfId="0" applyFont="1" applyAlignment="1">
      <alignment horizontal="center"/>
    </xf>
    <xf numFmtId="9" fontId="0" fillId="0" borderId="0" xfId="2" applyFont="1"/>
    <xf numFmtId="0" fontId="7" fillId="0" borderId="12" xfId="0" applyFont="1" applyFill="1" applyBorder="1"/>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13" xfId="0" applyFont="1" applyFill="1" applyBorder="1"/>
    <xf numFmtId="0" fontId="7" fillId="0" borderId="0" xfId="0" applyFont="1" applyFill="1" applyBorder="1" applyAlignment="1">
      <alignment horizontal="center"/>
    </xf>
    <xf numFmtId="0" fontId="7" fillId="0" borderId="6" xfId="0" applyFont="1" applyFill="1" applyBorder="1" applyAlignment="1">
      <alignment horizontal="center"/>
    </xf>
    <xf numFmtId="0" fontId="7" fillId="0" borderId="11" xfId="0" applyFont="1" applyFill="1" applyBorder="1" applyAlignment="1">
      <alignment horizontal="center"/>
    </xf>
    <xf numFmtId="164" fontId="0" fillId="0" borderId="0" xfId="0" applyNumberFormat="1" applyFont="1" applyFill="1" applyBorder="1" applyAlignment="1">
      <alignment horizontal="center"/>
    </xf>
    <xf numFmtId="0" fontId="0" fillId="0" borderId="19" xfId="0" applyFont="1" applyBorder="1" applyAlignment="1">
      <alignment horizontal="left" indent="1"/>
    </xf>
    <xf numFmtId="164" fontId="0" fillId="0" borderId="21" xfId="0" applyNumberFormat="1" applyBorder="1"/>
    <xf numFmtId="0" fontId="0" fillId="0" borderId="19" xfId="0" applyFont="1" applyFill="1" applyBorder="1" applyAlignment="1">
      <alignment horizontal="left" indent="1"/>
    </xf>
    <xf numFmtId="164" fontId="3" fillId="0" borderId="16" xfId="0" applyNumberFormat="1" applyFont="1" applyFill="1" applyBorder="1" applyAlignment="1">
      <alignment horizontal="center"/>
    </xf>
    <xf numFmtId="0" fontId="0" fillId="2" borderId="5" xfId="0" applyFont="1" applyFill="1" applyBorder="1"/>
    <xf numFmtId="0" fontId="0" fillId="2" borderId="14" xfId="0" applyFill="1" applyBorder="1"/>
    <xf numFmtId="0" fontId="12" fillId="0" borderId="0" xfId="4" applyFont="1" applyFill="1" applyBorder="1" applyAlignment="1">
      <alignment horizontal="right"/>
    </xf>
    <xf numFmtId="0" fontId="3" fillId="0" borderId="18" xfId="0" applyFont="1" applyBorder="1"/>
    <xf numFmtId="0" fontId="7" fillId="0" borderId="5" xfId="0" applyFont="1" applyBorder="1" applyAlignment="1">
      <alignment horizontal="center"/>
    </xf>
    <xf numFmtId="0" fontId="7" fillId="0" borderId="5" xfId="0" applyFont="1" applyFill="1" applyBorder="1" applyAlignment="1">
      <alignment horizontal="center"/>
    </xf>
    <xf numFmtId="14" fontId="7" fillId="0" borderId="5" xfId="0" applyNumberFormat="1" applyFont="1" applyFill="1" applyBorder="1" applyAlignment="1">
      <alignment horizontal="center"/>
    </xf>
    <xf numFmtId="0" fontId="3" fillId="0" borderId="19" xfId="0" applyFont="1" applyBorder="1"/>
    <xf numFmtId="0" fontId="7" fillId="0" borderId="6" xfId="0" applyFont="1" applyBorder="1" applyAlignment="1">
      <alignment horizontal="center"/>
    </xf>
    <xf numFmtId="0" fontId="3" fillId="0" borderId="20" xfId="0" applyFont="1" applyBorder="1"/>
    <xf numFmtId="0" fontId="7" fillId="0" borderId="16" xfId="0" applyFont="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0" fillId="2" borderId="11" xfId="0" applyFont="1" applyFill="1" applyBorder="1"/>
    <xf numFmtId="0" fontId="0" fillId="0" borderId="19" xfId="0" applyFont="1" applyBorder="1" applyAlignment="1" applyProtection="1">
      <alignment horizontal="left"/>
      <protection locked="0"/>
    </xf>
    <xf numFmtId="167" fontId="0" fillId="0" borderId="11" xfId="0" applyNumberFormat="1" applyFont="1" applyBorder="1"/>
    <xf numFmtId="0" fontId="0" fillId="0" borderId="19" xfId="0" applyFont="1" applyFill="1" applyBorder="1" applyAlignment="1" applyProtection="1">
      <alignment horizontal="left"/>
      <protection locked="0"/>
    </xf>
    <xf numFmtId="0" fontId="0" fillId="0" borderId="23" xfId="0" applyFont="1" applyBorder="1" applyAlignment="1" applyProtection="1">
      <alignment horizontal="left"/>
      <protection locked="0"/>
    </xf>
    <xf numFmtId="164" fontId="0" fillId="0" borderId="28" xfId="0" applyNumberFormat="1" applyBorder="1"/>
    <xf numFmtId="9" fontId="7" fillId="0" borderId="0" xfId="2" applyFont="1" applyAlignment="1">
      <alignment horizontal="center"/>
    </xf>
    <xf numFmtId="0" fontId="0" fillId="0" borderId="27" xfId="0" applyFont="1" applyBorder="1" applyAlignment="1" applyProtection="1">
      <alignment horizontal="left"/>
      <protection locked="0"/>
    </xf>
    <xf numFmtId="167" fontId="0" fillId="0" borderId="8" xfId="0" applyNumberFormat="1" applyFont="1" applyBorder="1" applyAlignment="1" applyProtection="1">
      <alignment horizontal="right"/>
      <protection locked="0"/>
    </xf>
    <xf numFmtId="167" fontId="0" fillId="0" borderId="29" xfId="0" applyNumberFormat="1" applyFont="1" applyBorder="1" applyAlignment="1" applyProtection="1">
      <alignment horizontal="right"/>
      <protection locked="0"/>
    </xf>
    <xf numFmtId="0" fontId="7" fillId="0" borderId="15" xfId="0" applyFont="1" applyFill="1" applyBorder="1"/>
    <xf numFmtId="0" fontId="7" fillId="0" borderId="4" xfId="0" applyFont="1" applyFill="1" applyBorder="1" applyAlignment="1">
      <alignment horizontal="center"/>
    </xf>
    <xf numFmtId="9" fontId="0" fillId="0" borderId="0" xfId="0" applyNumberFormat="1" applyFont="1"/>
    <xf numFmtId="0" fontId="0" fillId="0" borderId="0" xfId="0" applyFont="1" applyFill="1" applyAlignment="1">
      <alignment horizontal="right"/>
    </xf>
    <xf numFmtId="0" fontId="7" fillId="0" borderId="0" xfId="0" applyFont="1" applyFill="1" applyBorder="1" applyAlignment="1" applyProtection="1">
      <alignment horizontal="left"/>
      <protection locked="0"/>
    </xf>
    <xf numFmtId="0" fontId="3" fillId="0" borderId="0" xfId="0" applyFont="1" applyAlignment="1">
      <alignment horizontal="right"/>
    </xf>
    <xf numFmtId="9" fontId="3" fillId="0" borderId="0" xfId="2" applyFont="1" applyAlignment="1">
      <alignment horizontal="center"/>
    </xf>
    <xf numFmtId="0" fontId="7" fillId="0" borderId="0" xfId="0" applyFont="1" applyAlignment="1">
      <alignment horizontal="right"/>
    </xf>
    <xf numFmtId="9" fontId="7" fillId="0" borderId="0" xfId="0" applyNumberFormat="1" applyFont="1" applyAlignment="1">
      <alignment horizontal="center"/>
    </xf>
    <xf numFmtId="164" fontId="3" fillId="0" borderId="0" xfId="0" applyNumberFormat="1" applyFont="1" applyFill="1" applyBorder="1" applyAlignment="1">
      <alignment horizontal="right"/>
    </xf>
    <xf numFmtId="164" fontId="3" fillId="0" borderId="0" xfId="0" applyNumberFormat="1" applyFont="1"/>
    <xf numFmtId="0" fontId="3" fillId="0" borderId="20" xfId="0" applyFont="1" applyFill="1" applyBorder="1" applyAlignment="1">
      <alignment horizontal="left" indent="1"/>
    </xf>
    <xf numFmtId="164" fontId="3" fillId="0" borderId="22" xfId="0" applyNumberFormat="1" applyFont="1" applyFill="1" applyBorder="1"/>
    <xf numFmtId="0" fontId="0" fillId="2" borderId="8" xfId="0" applyFill="1" applyBorder="1" applyAlignment="1">
      <alignment horizontal="center" vertical="top" wrapText="1"/>
    </xf>
    <xf numFmtId="0" fontId="0" fillId="2" borderId="8" xfId="0" applyFont="1" applyFill="1" applyBorder="1" applyAlignment="1">
      <alignment horizontal="center" vertical="top" wrapText="1"/>
    </xf>
    <xf numFmtId="0" fontId="0" fillId="0" borderId="8" xfId="0" applyBorder="1" applyAlignment="1">
      <alignment horizontal="center" vertical="top" wrapText="1"/>
    </xf>
    <xf numFmtId="0" fontId="0" fillId="0" borderId="8" xfId="0" applyFont="1" applyFill="1" applyBorder="1" applyAlignment="1">
      <alignment horizontal="left" vertical="top" wrapText="1"/>
    </xf>
    <xf numFmtId="0" fontId="0" fillId="0" borderId="8" xfId="0" applyFont="1" applyFill="1" applyBorder="1" applyAlignment="1">
      <alignment horizontal="center" vertical="top" wrapText="1"/>
    </xf>
    <xf numFmtId="165" fontId="0" fillId="0" borderId="8" xfId="0" applyNumberFormat="1" applyFont="1" applyBorder="1" applyAlignment="1">
      <alignment horizontal="center"/>
    </xf>
    <xf numFmtId="0" fontId="0" fillId="0" borderId="8" xfId="0" applyFont="1" applyBorder="1"/>
    <xf numFmtId="0" fontId="0" fillId="0" borderId="8" xfId="0" applyFont="1" applyBorder="1" applyAlignment="1">
      <alignment horizontal="center"/>
    </xf>
    <xf numFmtId="0" fontId="0" fillId="0" borderId="8" xfId="0" applyFont="1" applyFill="1" applyBorder="1" applyAlignment="1">
      <alignment horizontal="center"/>
    </xf>
    <xf numFmtId="164" fontId="0" fillId="0" borderId="8" xfId="0" applyNumberFormat="1" applyFont="1" applyFill="1" applyBorder="1" applyAlignment="1">
      <alignment horizontal="center"/>
    </xf>
    <xf numFmtId="0" fontId="0" fillId="2" borderId="8" xfId="0" applyFont="1" applyFill="1" applyBorder="1"/>
    <xf numFmtId="0" fontId="0" fillId="2" borderId="8" xfId="0" applyFont="1" applyFill="1" applyBorder="1" applyAlignment="1">
      <alignment horizontal="center"/>
    </xf>
    <xf numFmtId="0" fontId="3" fillId="2" borderId="27" xfId="0" applyFont="1" applyFill="1" applyBorder="1" applyAlignment="1">
      <alignment horizontal="left" vertical="top" wrapText="1"/>
    </xf>
    <xf numFmtId="0" fontId="0" fillId="2" borderId="29" xfId="0" applyFill="1" applyBorder="1" applyAlignment="1">
      <alignment horizontal="center" vertical="top" wrapText="1"/>
    </xf>
    <xf numFmtId="0" fontId="0" fillId="0" borderId="27" xfId="0" applyBorder="1" applyAlignment="1">
      <alignment horizontal="center" vertical="top" wrapText="1"/>
    </xf>
    <xf numFmtId="0" fontId="0" fillId="0" borderId="29" xfId="0" applyBorder="1" applyAlignment="1">
      <alignment horizontal="center" vertical="top" wrapText="1"/>
    </xf>
    <xf numFmtId="0" fontId="3" fillId="2" borderId="27" xfId="0" applyFont="1" applyFill="1" applyBorder="1"/>
    <xf numFmtId="0" fontId="0" fillId="0" borderId="23" xfId="0" applyBorder="1" applyAlignment="1" applyProtection="1">
      <alignment horizontal="left"/>
      <protection locked="0"/>
    </xf>
    <xf numFmtId="0" fontId="3" fillId="0" borderId="25" xfId="0" applyFont="1" applyFill="1" applyBorder="1" applyAlignment="1">
      <alignment horizontal="center" vertical="top" wrapText="1"/>
    </xf>
    <xf numFmtId="0" fontId="3" fillId="2" borderId="25" xfId="0" applyFont="1" applyFill="1" applyBorder="1" applyAlignment="1">
      <alignment horizontal="center" vertical="top" wrapText="1"/>
    </xf>
    <xf numFmtId="0" fontId="0" fillId="0" borderId="8" xfId="0" applyBorder="1"/>
    <xf numFmtId="0" fontId="0" fillId="0" borderId="8" xfId="0" applyBorder="1" applyAlignment="1">
      <alignment horizontal="center"/>
    </xf>
    <xf numFmtId="14" fontId="0" fillId="0" borderId="8" xfId="0" applyNumberFormat="1" applyBorder="1" applyAlignment="1">
      <alignment horizontal="center" vertical="top" wrapText="1"/>
    </xf>
    <xf numFmtId="14" fontId="0" fillId="0" borderId="8" xfId="0" applyNumberFormat="1" applyFont="1" applyBorder="1" applyAlignment="1">
      <alignment horizontal="center"/>
    </xf>
    <xf numFmtId="0" fontId="3" fillId="0" borderId="24" xfId="0" applyFont="1" applyFill="1" applyBorder="1" applyAlignment="1">
      <alignment horizontal="center" vertical="top" wrapText="1"/>
    </xf>
    <xf numFmtId="0" fontId="3" fillId="0" borderId="26" xfId="0" applyFont="1" applyBorder="1" applyAlignment="1">
      <alignment horizontal="center" vertical="top" wrapText="1"/>
    </xf>
    <xf numFmtId="0" fontId="0" fillId="0" borderId="8" xfId="0" applyFill="1" applyBorder="1" applyAlignment="1">
      <alignment horizontal="left" vertical="top" wrapText="1"/>
    </xf>
    <xf numFmtId="0" fontId="0" fillId="0" borderId="8" xfId="0" applyFill="1" applyBorder="1" applyAlignment="1">
      <alignment horizontal="center" vertical="top" wrapText="1"/>
    </xf>
    <xf numFmtId="0" fontId="0" fillId="3" borderId="8" xfId="0" applyFill="1" applyBorder="1" applyAlignment="1">
      <alignment horizontal="left" vertical="top" wrapText="1"/>
    </xf>
    <xf numFmtId="0" fontId="0" fillId="3" borderId="8" xfId="0" applyFill="1" applyBorder="1" applyAlignment="1">
      <alignment horizontal="center" vertical="top" wrapText="1"/>
    </xf>
    <xf numFmtId="164" fontId="0" fillId="3" borderId="8" xfId="0" applyNumberFormat="1" applyFont="1" applyFill="1" applyBorder="1" applyAlignment="1">
      <alignment horizontal="center"/>
    </xf>
    <xf numFmtId="0" fontId="0" fillId="3" borderId="8" xfId="0" applyFill="1" applyBorder="1"/>
    <xf numFmtId="0" fontId="0" fillId="3" borderId="8" xfId="0" applyFill="1" applyBorder="1" applyAlignment="1">
      <alignment horizontal="center"/>
    </xf>
    <xf numFmtId="0" fontId="0" fillId="0" borderId="27" xfId="0" applyFont="1" applyFill="1" applyBorder="1" applyAlignment="1">
      <alignment horizontal="left" vertical="top" wrapText="1"/>
    </xf>
    <xf numFmtId="0" fontId="0" fillId="0" borderId="29" xfId="0" applyNumberFormat="1" applyBorder="1" applyAlignment="1">
      <alignment horizontal="center" vertical="top" wrapText="1"/>
    </xf>
    <xf numFmtId="0" fontId="0" fillId="0" borderId="27" xfId="0" applyFill="1" applyBorder="1" applyAlignment="1">
      <alignment horizontal="left" vertical="top" wrapText="1"/>
    </xf>
    <xf numFmtId="0" fontId="0" fillId="3" borderId="27" xfId="0" applyFill="1" applyBorder="1" applyAlignment="1">
      <alignment horizontal="left" vertical="top" wrapText="1"/>
    </xf>
    <xf numFmtId="0" fontId="0" fillId="3" borderId="29" xfId="0" applyNumberFormat="1" applyFill="1" applyBorder="1" applyAlignment="1">
      <alignment horizontal="center" vertical="top" wrapText="1"/>
    </xf>
    <xf numFmtId="0" fontId="0" fillId="3" borderId="29" xfId="0" applyFill="1" applyBorder="1" applyAlignment="1">
      <alignment horizontal="center" vertical="top" wrapText="1"/>
    </xf>
    <xf numFmtId="0" fontId="0" fillId="0" borderId="29" xfId="0" applyFont="1" applyBorder="1" applyAlignment="1">
      <alignment horizontal="center"/>
    </xf>
    <xf numFmtId="0" fontId="0" fillId="3" borderId="27" xfId="0" applyFill="1" applyBorder="1"/>
    <xf numFmtId="0" fontId="0" fillId="3" borderId="29" xfId="0" applyFont="1" applyFill="1" applyBorder="1" applyAlignment="1">
      <alignment horizontal="center"/>
    </xf>
    <xf numFmtId="0" fontId="0" fillId="2" borderId="29" xfId="0" applyFont="1" applyFill="1" applyBorder="1"/>
    <xf numFmtId="0" fontId="7" fillId="0" borderId="0" xfId="0" applyFont="1" applyAlignment="1">
      <alignment vertical="center" wrapText="1"/>
    </xf>
    <xf numFmtId="3" fontId="0" fillId="0" borderId="8" xfId="0" applyNumberFormat="1" applyBorder="1" applyAlignment="1">
      <alignment horizontal="center" vertical="top" wrapText="1"/>
    </xf>
    <xf numFmtId="165" fontId="0" fillId="3" borderId="8" xfId="0" applyNumberFormat="1" applyFont="1" applyFill="1" applyBorder="1" applyAlignment="1">
      <alignment horizontal="center"/>
    </xf>
    <xf numFmtId="0" fontId="0" fillId="4" borderId="8" xfId="0" applyFill="1" applyBorder="1" applyAlignment="1">
      <alignment horizontal="center"/>
    </xf>
    <xf numFmtId="0" fontId="3" fillId="4" borderId="8" xfId="0" applyFont="1" applyFill="1" applyBorder="1"/>
    <xf numFmtId="0" fontId="3" fillId="0" borderId="30" xfId="0" applyFont="1" applyBorder="1" applyAlignment="1">
      <alignment wrapText="1"/>
    </xf>
    <xf numFmtId="0" fontId="0" fillId="4" borderId="31" xfId="0" applyFont="1" applyFill="1" applyBorder="1"/>
    <xf numFmtId="0" fontId="0" fillId="0" borderId="19" xfId="0" applyBorder="1" applyAlignment="1" applyProtection="1">
      <alignment horizontal="left"/>
      <protection locked="0"/>
    </xf>
    <xf numFmtId="0" fontId="3" fillId="0" borderId="19" xfId="0" applyFont="1" applyBorder="1" applyAlignment="1">
      <alignment horizontal="left"/>
    </xf>
    <xf numFmtId="167" fontId="3" fillId="0" borderId="6" xfId="0" applyNumberFormat="1" applyFont="1" applyFill="1" applyBorder="1" applyAlignment="1">
      <alignment horizontal="right"/>
    </xf>
    <xf numFmtId="167" fontId="3" fillId="0" borderId="11" xfId="0" applyNumberFormat="1" applyFont="1" applyFill="1" applyBorder="1"/>
    <xf numFmtId="0" fontId="3" fillId="0" borderId="30" xfId="0" applyFont="1" applyBorder="1" applyAlignment="1">
      <alignment horizontal="left"/>
    </xf>
    <xf numFmtId="10" fontId="3" fillId="0" borderId="31" xfId="0" applyNumberFormat="1" applyFont="1" applyFill="1" applyBorder="1" applyAlignment="1">
      <alignment horizontal="right"/>
    </xf>
    <xf numFmtId="10" fontId="3" fillId="0" borderId="32" xfId="0" applyNumberFormat="1" applyFont="1" applyFill="1" applyBorder="1"/>
    <xf numFmtId="0" fontId="0" fillId="4" borderId="8" xfId="0" applyFont="1" applyFill="1" applyBorder="1"/>
    <xf numFmtId="0" fontId="0" fillId="4" borderId="29" xfId="0" applyFont="1" applyFill="1" applyBorder="1" applyAlignment="1">
      <alignment horizontal="center"/>
    </xf>
    <xf numFmtId="0" fontId="0" fillId="4" borderId="29" xfId="0" applyFont="1" applyFill="1" applyBorder="1"/>
    <xf numFmtId="165" fontId="0" fillId="4" borderId="31" xfId="0" applyNumberFormat="1" applyFont="1" applyFill="1" applyBorder="1" applyAlignment="1">
      <alignment horizontal="center"/>
    </xf>
    <xf numFmtId="0" fontId="0" fillId="4" borderId="32" xfId="0" applyFont="1" applyFill="1" applyBorder="1"/>
    <xf numFmtId="0" fontId="0" fillId="0" borderId="29" xfId="0" applyBorder="1"/>
    <xf numFmtId="164" fontId="0" fillId="0" borderId="0" xfId="0" applyNumberFormat="1"/>
    <xf numFmtId="0" fontId="0" fillId="0" borderId="36" xfId="0" applyFont="1" applyBorder="1" applyAlignment="1">
      <alignment wrapText="1"/>
    </xf>
    <xf numFmtId="164" fontId="0" fillId="0" borderId="25" xfId="0" applyNumberFormat="1" applyFont="1" applyBorder="1" applyAlignment="1">
      <alignment horizontal="center"/>
    </xf>
    <xf numFmtId="164" fontId="0" fillId="0" borderId="26" xfId="0" applyNumberFormat="1" applyFont="1" applyBorder="1" applyAlignment="1">
      <alignment horizontal="center"/>
    </xf>
    <xf numFmtId="164" fontId="0" fillId="0" borderId="32" xfId="0" applyNumberFormat="1" applyFont="1" applyBorder="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0" fillId="0" borderId="37" xfId="0" applyBorder="1" applyAlignment="1">
      <alignment wrapText="1"/>
    </xf>
    <xf numFmtId="0" fontId="0" fillId="0" borderId="27" xfId="0" applyFill="1" applyBorder="1" applyAlignment="1">
      <alignment horizontal="left" indent="1"/>
    </xf>
    <xf numFmtId="41" fontId="0" fillId="0" borderId="0" xfId="1" applyNumberFormat="1" applyFont="1" applyAlignment="1">
      <alignment horizontal="center"/>
    </xf>
    <xf numFmtId="164" fontId="0" fillId="2" borderId="35" xfId="0" applyNumberFormat="1" applyFont="1" applyFill="1" applyBorder="1" applyAlignment="1">
      <alignment horizontal="center"/>
    </xf>
    <xf numFmtId="164" fontId="0" fillId="2" borderId="38" xfId="0" applyNumberFormat="1" applyFill="1" applyBorder="1"/>
    <xf numFmtId="0" fontId="0" fillId="0" borderId="23" xfId="0" applyFill="1" applyBorder="1" applyAlignment="1">
      <alignment horizontal="left" indent="1"/>
    </xf>
    <xf numFmtId="164" fontId="0" fillId="0" borderId="7" xfId="0" applyNumberFormat="1" applyBorder="1" applyAlignment="1">
      <alignment horizontal="center"/>
    </xf>
    <xf numFmtId="166" fontId="0" fillId="0" borderId="0" xfId="0" applyNumberFormat="1" applyAlignment="1">
      <alignment horizontal="center" vertical="top" wrapText="1"/>
    </xf>
    <xf numFmtId="166" fontId="0" fillId="0" borderId="0" xfId="0" applyNumberFormat="1"/>
    <xf numFmtId="164" fontId="0" fillId="0" borderId="11" xfId="0" applyNumberFormat="1" applyBorder="1"/>
    <xf numFmtId="0" fontId="0" fillId="0" borderId="0" xfId="0" applyNumberFormat="1" applyFont="1"/>
    <xf numFmtId="0" fontId="0" fillId="0" borderId="13" xfId="0" applyBorder="1"/>
    <xf numFmtId="166" fontId="0" fillId="0" borderId="0" xfId="0" applyNumberFormat="1" applyBorder="1" applyAlignment="1">
      <alignment horizontal="center" vertical="top" wrapText="1"/>
    </xf>
    <xf numFmtId="44" fontId="0" fillId="0" borderId="0" xfId="0" applyNumberFormat="1" applyFont="1"/>
    <xf numFmtId="3" fontId="0" fillId="0" borderId="0" xfId="0" applyNumberFormat="1" applyFont="1"/>
    <xf numFmtId="164" fontId="0" fillId="0" borderId="0" xfId="0" applyNumberFormat="1" applyFont="1" applyFill="1" applyBorder="1"/>
    <xf numFmtId="164" fontId="0" fillId="0" borderId="0" xfId="0" applyNumberFormat="1" applyFill="1"/>
    <xf numFmtId="0" fontId="3" fillId="0" borderId="27" xfId="0" applyFont="1" applyFill="1" applyBorder="1" applyAlignment="1">
      <alignment wrapText="1"/>
    </xf>
    <xf numFmtId="164" fontId="0" fillId="0" borderId="25" xfId="0" applyNumberFormat="1" applyFont="1" applyFill="1" applyBorder="1" applyAlignment="1">
      <alignment horizontal="center"/>
    </xf>
    <xf numFmtId="164" fontId="0" fillId="0" borderId="31" xfId="0" applyNumberFormat="1" applyFont="1" applyFill="1" applyBorder="1" applyAlignment="1">
      <alignment horizontal="center"/>
    </xf>
    <xf numFmtId="9" fontId="7" fillId="0" borderId="0" xfId="2" applyFont="1" applyFill="1" applyAlignment="1">
      <alignment horizontal="center"/>
    </xf>
    <xf numFmtId="0" fontId="0" fillId="0" borderId="0" xfId="0" applyFont="1" applyFill="1"/>
    <xf numFmtId="0" fontId="10" fillId="0" borderId="0" xfId="0" applyFont="1" applyFill="1" applyBorder="1" applyAlignment="1" applyProtection="1">
      <alignment horizontal="left"/>
      <protection locked="0"/>
    </xf>
    <xf numFmtId="0" fontId="0" fillId="0" borderId="0" xfId="0" applyFill="1" applyBorder="1" applyAlignment="1">
      <alignment horizontal="left"/>
    </xf>
    <xf numFmtId="0" fontId="11" fillId="0" borderId="0" xfId="0" applyFont="1" applyProtection="1">
      <protection locked="0"/>
    </xf>
    <xf numFmtId="0" fontId="0" fillId="0" borderId="0" xfId="0" applyFont="1" applyAlignment="1" applyProtection="1">
      <alignment horizontal="center"/>
      <protection locked="0"/>
    </xf>
    <xf numFmtId="0" fontId="0" fillId="0" borderId="0" xfId="0" applyFont="1" applyProtection="1">
      <protection locked="0"/>
    </xf>
    <xf numFmtId="0" fontId="2"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3" fillId="2" borderId="18" xfId="0" applyFont="1" applyFill="1" applyBorder="1" applyAlignment="1">
      <alignment horizontal="left"/>
    </xf>
    <xf numFmtId="0" fontId="3" fillId="2" borderId="34" xfId="0" applyFont="1" applyFill="1" applyBorder="1" applyAlignment="1">
      <alignment horizontal="left"/>
    </xf>
    <xf numFmtId="0" fontId="3" fillId="2" borderId="19" xfId="0" applyFont="1" applyFill="1" applyBorder="1"/>
    <xf numFmtId="0" fontId="3" fillId="2" borderId="19" xfId="0" applyFont="1" applyFill="1" applyBorder="1" applyAlignment="1" applyProtection="1">
      <alignment horizontal="left"/>
      <protection locked="0"/>
    </xf>
    <xf numFmtId="0" fontId="3" fillId="2" borderId="24" xfId="0" applyFont="1" applyFill="1" applyBorder="1" applyAlignment="1">
      <alignment horizontal="center" vertical="top" wrapText="1"/>
    </xf>
    <xf numFmtId="0" fontId="3" fillId="2" borderId="26" xfId="0" applyFont="1" applyFill="1" applyBorder="1" applyAlignment="1">
      <alignment horizontal="center" vertical="top" wrapText="1"/>
    </xf>
    <xf numFmtId="167" fontId="0" fillId="0" borderId="33" xfId="0" applyNumberFormat="1" applyFont="1" applyBorder="1" applyAlignment="1" applyProtection="1">
      <alignment horizontal="right"/>
      <protection locked="0"/>
    </xf>
    <xf numFmtId="0" fontId="11" fillId="0" borderId="0" xfId="0" applyFont="1" applyFill="1" applyBorder="1" applyAlignment="1" applyProtection="1">
      <alignment horizontal="left" wrapText="1"/>
      <protection locked="0"/>
    </xf>
    <xf numFmtId="0" fontId="7" fillId="0" borderId="0" xfId="0" applyFont="1" applyAlignment="1">
      <alignment horizontal="center" vertical="center" wrapText="1"/>
    </xf>
    <xf numFmtId="164" fontId="0" fillId="2" borderId="16" xfId="0" applyNumberFormat="1" applyFont="1" applyFill="1" applyBorder="1" applyAlignment="1">
      <alignment horizontal="center"/>
    </xf>
    <xf numFmtId="0" fontId="0" fillId="5" borderId="23" xfId="0" applyFill="1" applyBorder="1" applyAlignment="1">
      <alignment horizontal="left" vertical="top" wrapText="1"/>
    </xf>
    <xf numFmtId="0" fontId="0" fillId="6" borderId="7" xfId="0" applyFill="1" applyBorder="1" applyAlignment="1">
      <alignment horizontal="center" vertical="top" wrapText="1"/>
    </xf>
    <xf numFmtId="168" fontId="0" fillId="5" borderId="7" xfId="0" applyNumberFormat="1" applyFill="1" applyBorder="1" applyAlignment="1">
      <alignment horizontal="center" vertical="center" wrapText="1"/>
    </xf>
    <xf numFmtId="165" fontId="0" fillId="5" borderId="7" xfId="2" applyNumberFormat="1" applyFont="1" applyFill="1" applyBorder="1" applyAlignment="1">
      <alignment horizontal="center" vertical="center" wrapText="1"/>
    </xf>
    <xf numFmtId="0" fontId="0" fillId="6" borderId="7" xfId="0" applyFill="1" applyBorder="1" applyAlignment="1">
      <alignment horizontal="left" vertical="top" wrapText="1"/>
    </xf>
    <xf numFmtId="0" fontId="0" fillId="6" borderId="39" xfId="0" applyFill="1" applyBorder="1" applyAlignment="1">
      <alignment horizontal="center" vertical="top" wrapText="1"/>
    </xf>
    <xf numFmtId="0" fontId="0" fillId="5" borderId="27" xfId="0" applyFill="1" applyBorder="1" applyAlignment="1">
      <alignment horizontal="left" vertical="top" wrapText="1"/>
    </xf>
    <xf numFmtId="0" fontId="0" fillId="6" borderId="8" xfId="0" applyFill="1" applyBorder="1" applyAlignment="1">
      <alignment horizontal="center" vertical="top" wrapText="1"/>
    </xf>
    <xf numFmtId="164" fontId="0" fillId="0" borderId="8" xfId="0" applyNumberFormat="1" applyBorder="1" applyAlignment="1">
      <alignment horizontal="center" vertical="center"/>
    </xf>
    <xf numFmtId="165" fontId="0" fillId="5" borderId="8" xfId="0" applyNumberFormat="1" applyFill="1" applyBorder="1" applyAlignment="1">
      <alignment horizontal="center" vertical="center" wrapText="1"/>
    </xf>
    <xf numFmtId="0" fontId="0" fillId="6" borderId="8" xfId="0" applyFill="1" applyBorder="1" applyAlignment="1">
      <alignment horizontal="left" vertical="top" wrapText="1"/>
    </xf>
    <xf numFmtId="0" fontId="0" fillId="6" borderId="29" xfId="0" applyFill="1" applyBorder="1" applyAlignment="1">
      <alignment horizontal="center" vertical="top" wrapText="1"/>
    </xf>
    <xf numFmtId="0" fontId="0" fillId="5" borderId="30" xfId="0" applyFill="1" applyBorder="1" applyAlignment="1">
      <alignment horizontal="left" vertical="top" wrapText="1"/>
    </xf>
    <xf numFmtId="0" fontId="0" fillId="6" borderId="31" xfId="0" applyFill="1" applyBorder="1" applyAlignment="1">
      <alignment horizontal="center" vertical="top" wrapText="1"/>
    </xf>
    <xf numFmtId="169" fontId="0" fillId="5" borderId="31" xfId="0" applyNumberFormat="1" applyFill="1" applyBorder="1" applyAlignment="1">
      <alignment horizontal="center" vertical="center" wrapText="1"/>
    </xf>
    <xf numFmtId="164" fontId="0" fillId="0" borderId="31" xfId="0" applyNumberFormat="1" applyBorder="1" applyAlignment="1">
      <alignment horizontal="center" vertical="center"/>
    </xf>
    <xf numFmtId="165" fontId="0" fillId="5" borderId="31" xfId="0" applyNumberFormat="1" applyFill="1" applyBorder="1" applyAlignment="1">
      <alignment horizontal="center" vertical="center" wrapText="1"/>
    </xf>
    <xf numFmtId="0" fontId="0" fillId="6" borderId="31" xfId="0" applyFill="1" applyBorder="1" applyAlignment="1">
      <alignment horizontal="left" vertical="top" wrapText="1"/>
    </xf>
    <xf numFmtId="0" fontId="0" fillId="6" borderId="32" xfId="0" applyFill="1" applyBorder="1" applyAlignment="1">
      <alignment horizontal="center" vertical="top" wrapText="1"/>
    </xf>
    <xf numFmtId="0" fontId="0" fillId="0" borderId="35" xfId="0" applyFont="1" applyFill="1" applyBorder="1" applyAlignment="1">
      <alignment horizontal="center"/>
    </xf>
    <xf numFmtId="0" fontId="0" fillId="0" borderId="35" xfId="0" applyFont="1" applyBorder="1"/>
    <xf numFmtId="0" fontId="0" fillId="5" borderId="24" xfId="0" applyFill="1" applyBorder="1" applyAlignment="1">
      <alignment horizontal="left" vertical="top" wrapText="1"/>
    </xf>
    <xf numFmtId="0" fontId="0" fillId="6" borderId="25" xfId="0" applyFill="1" applyBorder="1" applyAlignment="1">
      <alignment horizontal="center" vertical="top" wrapText="1"/>
    </xf>
    <xf numFmtId="1" fontId="0" fillId="5" borderId="25" xfId="0" applyNumberFormat="1" applyFill="1" applyBorder="1" applyAlignment="1">
      <alignment horizontal="center" vertical="center" wrapText="1"/>
    </xf>
    <xf numFmtId="164" fontId="0" fillId="5" borderId="25" xfId="0" applyNumberFormat="1" applyFill="1" applyBorder="1" applyAlignment="1">
      <alignment horizontal="center" vertical="center" wrapText="1"/>
    </xf>
    <xf numFmtId="0" fontId="0" fillId="6" borderId="25" xfId="0" applyFill="1" applyBorder="1" applyAlignment="1">
      <alignment horizontal="left" vertical="top" wrapText="1"/>
    </xf>
    <xf numFmtId="0" fontId="0" fillId="6" borderId="26" xfId="0" applyFill="1" applyBorder="1" applyAlignment="1">
      <alignment horizontal="center" vertical="top" wrapText="1"/>
    </xf>
    <xf numFmtId="164" fontId="0" fillId="5" borderId="8" xfId="0" applyNumberFormat="1" applyFill="1" applyBorder="1" applyAlignment="1">
      <alignment horizontal="center" vertical="center" wrapText="1"/>
    </xf>
    <xf numFmtId="1" fontId="0" fillId="5" borderId="31" xfId="0" applyNumberFormat="1" applyFill="1" applyBorder="1" applyAlignment="1">
      <alignment horizontal="center" vertical="center" wrapText="1"/>
    </xf>
    <xf numFmtId="164" fontId="0" fillId="5" borderId="31" xfId="0" applyNumberFormat="1" applyFill="1" applyBorder="1" applyAlignment="1">
      <alignment horizontal="center" vertical="center" wrapText="1"/>
    </xf>
    <xf numFmtId="165" fontId="0" fillId="5" borderId="25" xfId="0" applyNumberFormat="1" applyFill="1" applyBorder="1" applyAlignment="1">
      <alignment horizontal="center" vertical="center" wrapText="1"/>
    </xf>
    <xf numFmtId="0" fontId="0" fillId="3" borderId="30" xfId="0" applyFill="1" applyBorder="1" applyAlignment="1">
      <alignment horizontal="left" vertical="top" wrapText="1"/>
    </xf>
    <xf numFmtId="0" fontId="0" fillId="3" borderId="31" xfId="0" applyFill="1" applyBorder="1" applyAlignment="1">
      <alignment horizontal="center" vertical="top" wrapText="1"/>
    </xf>
    <xf numFmtId="164" fontId="0" fillId="3" borderId="31" xfId="0" applyNumberFormat="1" applyFont="1" applyFill="1" applyBorder="1" applyAlignment="1">
      <alignment horizontal="center"/>
    </xf>
    <xf numFmtId="165" fontId="0" fillId="3" borderId="31" xfId="0" applyNumberFormat="1" applyFont="1" applyFill="1" applyBorder="1" applyAlignment="1">
      <alignment horizontal="center"/>
    </xf>
    <xf numFmtId="0" fontId="0" fillId="3" borderId="31" xfId="0" applyFill="1" applyBorder="1" applyAlignment="1">
      <alignment horizontal="left" vertical="top" wrapText="1"/>
    </xf>
    <xf numFmtId="0" fontId="0" fillId="3" borderId="32" xfId="0" applyFill="1" applyBorder="1" applyAlignment="1">
      <alignment horizontal="center" vertical="top" wrapText="1"/>
    </xf>
    <xf numFmtId="165" fontId="0" fillId="0" borderId="0" xfId="0" applyNumberFormat="1"/>
    <xf numFmtId="0" fontId="3" fillId="2" borderId="23" xfId="0" applyFont="1" applyFill="1" applyBorder="1" applyAlignment="1">
      <alignment horizontal="left" vertical="top" wrapText="1"/>
    </xf>
    <xf numFmtId="0" fontId="0" fillId="2" borderId="7" xfId="0" applyFont="1" applyFill="1" applyBorder="1" applyAlignment="1">
      <alignment horizontal="center" vertical="top" wrapText="1"/>
    </xf>
    <xf numFmtId="0" fontId="0" fillId="2" borderId="39" xfId="0" applyNumberFormat="1" applyFill="1" applyBorder="1" applyAlignment="1">
      <alignment horizontal="center" vertical="top" wrapText="1"/>
    </xf>
    <xf numFmtId="0" fontId="0" fillId="2" borderId="7" xfId="0" applyFont="1" applyFill="1" applyBorder="1" applyAlignment="1">
      <alignment horizontal="center"/>
    </xf>
    <xf numFmtId="166" fontId="0" fillId="2" borderId="7" xfId="0" applyNumberFormat="1" applyFont="1" applyFill="1" applyBorder="1" applyAlignment="1">
      <alignment horizontal="center"/>
    </xf>
    <xf numFmtId="165" fontId="0" fillId="2" borderId="7" xfId="0" applyNumberFormat="1" applyFont="1" applyFill="1" applyBorder="1" applyAlignment="1">
      <alignment horizontal="center"/>
    </xf>
    <xf numFmtId="164" fontId="0" fillId="0" borderId="35" xfId="0" applyNumberFormat="1" applyFont="1" applyFill="1" applyBorder="1" applyAlignment="1">
      <alignment horizontal="center"/>
    </xf>
    <xf numFmtId="168" fontId="3" fillId="0" borderId="8"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5" fontId="3" fillId="0" borderId="8" xfId="0" applyNumberFormat="1" applyFont="1" applyFill="1" applyBorder="1" applyAlignment="1">
      <alignment horizontal="center" vertical="center"/>
    </xf>
    <xf numFmtId="165" fontId="3" fillId="0" borderId="31" xfId="0" applyNumberFormat="1" applyFont="1" applyBorder="1" applyAlignment="1">
      <alignment horizontal="center" vertical="center"/>
    </xf>
    <xf numFmtId="0" fontId="0" fillId="0" borderId="34" xfId="0" applyBorder="1" applyAlignment="1">
      <alignment horizontal="center" vertical="top" wrapText="1"/>
    </xf>
    <xf numFmtId="0" fontId="0" fillId="0" borderId="35" xfId="0" applyFont="1" applyFill="1" applyBorder="1" applyAlignment="1">
      <alignment horizontal="left" vertical="top" wrapText="1"/>
    </xf>
    <xf numFmtId="0" fontId="0" fillId="0" borderId="35" xfId="0" applyFont="1" applyFill="1" applyBorder="1" applyAlignment="1">
      <alignment horizontal="center" vertical="top" wrapText="1"/>
    </xf>
    <xf numFmtId="3" fontId="0" fillId="0" borderId="35" xfId="0" applyNumberFormat="1" applyBorder="1" applyAlignment="1">
      <alignment horizontal="center" vertical="top" wrapText="1"/>
    </xf>
    <xf numFmtId="14" fontId="0" fillId="0" borderId="35" xfId="0" applyNumberFormat="1" applyBorder="1" applyAlignment="1">
      <alignment horizontal="center" vertical="top" wrapText="1"/>
    </xf>
    <xf numFmtId="164" fontId="0" fillId="0" borderId="35" xfId="0" applyNumberFormat="1" applyFont="1" applyBorder="1" applyAlignment="1">
      <alignment horizontal="center"/>
    </xf>
    <xf numFmtId="0" fontId="0" fillId="0" borderId="33" xfId="0" applyBorder="1" applyAlignment="1">
      <alignment horizontal="center" vertical="top" wrapText="1"/>
    </xf>
    <xf numFmtId="0" fontId="0" fillId="0" borderId="40" xfId="0" applyBorder="1" applyAlignment="1">
      <alignment horizontal="left" wrapText="1"/>
    </xf>
    <xf numFmtId="0" fontId="0" fillId="4" borderId="41" xfId="0" applyFont="1" applyFill="1" applyBorder="1" applyAlignment="1">
      <alignment horizontal="left" vertical="top" wrapText="1"/>
    </xf>
    <xf numFmtId="0" fontId="0" fillId="4" borderId="41" xfId="0" applyFont="1" applyFill="1" applyBorder="1" applyAlignment="1">
      <alignment horizontal="center" vertical="top" wrapText="1"/>
    </xf>
    <xf numFmtId="3" fontId="0" fillId="0" borderId="41" xfId="0" applyNumberFormat="1" applyBorder="1" applyAlignment="1">
      <alignment horizontal="center" vertical="center" wrapText="1"/>
    </xf>
    <xf numFmtId="14" fontId="0" fillId="4" borderId="41" xfId="0" applyNumberFormat="1" applyFill="1" applyBorder="1" applyAlignment="1">
      <alignment horizontal="center" vertical="center" wrapText="1"/>
    </xf>
    <xf numFmtId="164" fontId="0" fillId="0" borderId="41" xfId="0" applyNumberFormat="1" applyFont="1" applyBorder="1" applyAlignment="1">
      <alignment horizontal="center" vertical="center"/>
    </xf>
    <xf numFmtId="165" fontId="0" fillId="0" borderId="41" xfId="0" applyNumberFormat="1" applyFont="1" applyBorder="1" applyAlignment="1">
      <alignment horizontal="center" vertical="center"/>
    </xf>
    <xf numFmtId="0" fontId="0" fillId="4" borderId="42" xfId="0" applyFill="1" applyBorder="1" applyAlignment="1">
      <alignment horizontal="center" vertical="top" wrapText="1"/>
    </xf>
    <xf numFmtId="0" fontId="7" fillId="2" borderId="23" xfId="0" applyFont="1" applyFill="1" applyBorder="1" applyAlignment="1">
      <alignment horizontal="left" vertical="top" wrapText="1"/>
    </xf>
    <xf numFmtId="0" fontId="11" fillId="2" borderId="7" xfId="0" applyFont="1" applyFill="1" applyBorder="1" applyAlignment="1">
      <alignment horizontal="center" vertical="top" wrapText="1"/>
    </xf>
    <xf numFmtId="0" fontId="0" fillId="2" borderId="39" xfId="0" applyFill="1" applyBorder="1" applyAlignment="1">
      <alignment horizontal="center" vertical="top" wrapText="1"/>
    </xf>
    <xf numFmtId="0" fontId="0" fillId="0" borderId="35" xfId="0" applyFont="1" applyBorder="1" applyAlignment="1">
      <alignment horizontal="center"/>
    </xf>
    <xf numFmtId="14" fontId="0" fillId="0" borderId="35" xfId="0" applyNumberFormat="1" applyFont="1" applyBorder="1" applyAlignment="1">
      <alignment horizontal="center"/>
    </xf>
    <xf numFmtId="0" fontId="0" fillId="0" borderId="33" xfId="0" applyBorder="1"/>
    <xf numFmtId="0" fontId="0" fillId="4" borderId="41" xfId="0" applyFont="1" applyFill="1" applyBorder="1"/>
    <xf numFmtId="0" fontId="0" fillId="4" borderId="41" xfId="0" applyFont="1" applyFill="1" applyBorder="1" applyAlignment="1">
      <alignment horizontal="center"/>
    </xf>
    <xf numFmtId="0" fontId="0" fillId="0" borderId="41" xfId="0" applyFont="1" applyBorder="1" applyAlignment="1">
      <alignment horizontal="center" vertical="center"/>
    </xf>
    <xf numFmtId="14" fontId="0" fillId="4" borderId="41" xfId="0" applyNumberFormat="1" applyFont="1" applyFill="1" applyBorder="1" applyAlignment="1">
      <alignment horizontal="center" vertical="center"/>
    </xf>
    <xf numFmtId="10" fontId="0" fillId="0" borderId="41" xfId="0" applyNumberFormat="1" applyFont="1" applyBorder="1" applyAlignment="1">
      <alignment horizontal="center" vertical="center"/>
    </xf>
    <xf numFmtId="0" fontId="0" fillId="4" borderId="42" xfId="0" applyFill="1" applyBorder="1"/>
    <xf numFmtId="0" fontId="3" fillId="2" borderId="23" xfId="0" applyFont="1" applyFill="1" applyBorder="1"/>
    <xf numFmtId="0" fontId="0" fillId="2" borderId="7" xfId="0" applyFont="1" applyFill="1" applyBorder="1"/>
    <xf numFmtId="0" fontId="0" fillId="2" borderId="39" xfId="0" applyFill="1" applyBorder="1"/>
    <xf numFmtId="0" fontId="0" fillId="0" borderId="35" xfId="0" applyFill="1" applyBorder="1"/>
    <xf numFmtId="0" fontId="0" fillId="0" borderId="35" xfId="0" applyFill="1" applyBorder="1" applyAlignment="1">
      <alignment horizontal="center"/>
    </xf>
    <xf numFmtId="164" fontId="0" fillId="5" borderId="35" xfId="0" applyNumberFormat="1" applyFont="1" applyFill="1" applyBorder="1" applyAlignment="1">
      <alignment horizontal="center"/>
    </xf>
    <xf numFmtId="0" fontId="0" fillId="0" borderId="35" xfId="0" applyBorder="1"/>
    <xf numFmtId="0" fontId="0" fillId="4" borderId="41" xfId="0" applyFill="1" applyBorder="1"/>
    <xf numFmtId="0" fontId="0" fillId="4" borderId="41" xfId="0" applyFill="1" applyBorder="1" applyAlignment="1">
      <alignment horizontal="center"/>
    </xf>
    <xf numFmtId="1" fontId="0" fillId="0" borderId="41" xfId="0" applyNumberFormat="1" applyFont="1" applyBorder="1" applyAlignment="1">
      <alignment horizontal="center" vertical="center"/>
    </xf>
    <xf numFmtId="0" fontId="3" fillId="0" borderId="20" xfId="0" applyFont="1" applyBorder="1" applyAlignment="1">
      <alignment horizontal="left" wrapText="1"/>
    </xf>
    <xf numFmtId="0" fontId="0" fillId="4" borderId="16" xfId="0" applyFont="1" applyFill="1" applyBorder="1"/>
    <xf numFmtId="0" fontId="0" fillId="4" borderId="16" xfId="0" applyFill="1" applyBorder="1" applyAlignment="1">
      <alignment horizontal="center"/>
    </xf>
    <xf numFmtId="3" fontId="3" fillId="0" borderId="16" xfId="1" applyNumberFormat="1" applyFont="1" applyBorder="1" applyAlignment="1">
      <alignment horizontal="center" vertical="center"/>
    </xf>
    <xf numFmtId="169" fontId="3" fillId="0" borderId="16" xfId="1" applyNumberFormat="1" applyFont="1" applyBorder="1" applyAlignment="1">
      <alignment horizontal="center" vertical="center"/>
    </xf>
    <xf numFmtId="0" fontId="3" fillId="4" borderId="16" xfId="0" applyFont="1" applyFill="1" applyBorder="1" applyAlignment="1">
      <alignment horizontal="center" vertical="center"/>
    </xf>
    <xf numFmtId="164" fontId="3" fillId="0" borderId="16" xfId="0" applyNumberFormat="1" applyFont="1" applyFill="1" applyBorder="1" applyAlignment="1">
      <alignment horizontal="center" vertical="center"/>
    </xf>
    <xf numFmtId="165" fontId="3" fillId="0" borderId="16" xfId="0" applyNumberFormat="1" applyFont="1" applyBorder="1" applyAlignment="1">
      <alignment horizontal="center" vertical="center"/>
    </xf>
    <xf numFmtId="0" fontId="3" fillId="4" borderId="16" xfId="0" applyFont="1" applyFill="1" applyBorder="1"/>
    <xf numFmtId="0" fontId="0" fillId="4" borderId="17" xfId="0" applyFill="1" applyBorder="1"/>
    <xf numFmtId="0" fontId="3" fillId="0" borderId="14" xfId="0" applyFont="1" applyBorder="1" applyAlignment="1">
      <alignment horizontal="center"/>
    </xf>
    <xf numFmtId="9" fontId="3" fillId="0" borderId="0" xfId="2" applyFont="1"/>
    <xf numFmtId="170" fontId="0" fillId="0" borderId="8" xfId="0" applyNumberFormat="1" applyFont="1" applyBorder="1" applyAlignment="1">
      <alignment horizontal="center"/>
    </xf>
    <xf numFmtId="170" fontId="0" fillId="3" borderId="8" xfId="0" applyNumberFormat="1" applyFont="1" applyFill="1" applyBorder="1" applyAlignment="1">
      <alignment horizontal="center"/>
    </xf>
    <xf numFmtId="0" fontId="11" fillId="0" borderId="34" xfId="0" applyFont="1" applyBorder="1" applyAlignment="1">
      <alignment horizontal="center" vertical="top" wrapText="1"/>
    </xf>
    <xf numFmtId="2" fontId="0" fillId="0" borderId="35" xfId="0" applyNumberFormat="1" applyFont="1" applyBorder="1" applyAlignment="1">
      <alignment horizontal="center"/>
    </xf>
    <xf numFmtId="2" fontId="0" fillId="0" borderId="8" xfId="0" applyNumberFormat="1" applyFont="1" applyBorder="1" applyAlignment="1">
      <alignment horizontal="center"/>
    </xf>
    <xf numFmtId="2" fontId="0" fillId="0" borderId="35" xfId="0" applyNumberFormat="1" applyFont="1" applyFill="1" applyBorder="1" applyAlignment="1">
      <alignment horizontal="center"/>
    </xf>
    <xf numFmtId="2" fontId="0" fillId="0" borderId="41" xfId="0" applyNumberFormat="1" applyFont="1" applyBorder="1" applyAlignment="1">
      <alignment horizontal="center" vertical="center"/>
    </xf>
    <xf numFmtId="2" fontId="0" fillId="0" borderId="8" xfId="0" applyNumberFormat="1" applyFont="1" applyFill="1" applyBorder="1" applyAlignment="1">
      <alignment horizontal="center" vertical="top" wrapText="1"/>
    </xf>
    <xf numFmtId="2" fontId="0" fillId="0" borderId="0" xfId="0" applyNumberFormat="1" applyAlignment="1">
      <alignment horizontal="center" vertical="top" wrapText="1"/>
    </xf>
    <xf numFmtId="2" fontId="3" fillId="0" borderId="0" xfId="0" applyNumberFormat="1" applyFont="1"/>
    <xf numFmtId="0" fontId="0" fillId="0" borderId="27" xfId="0" applyBorder="1" applyAlignment="1">
      <alignment horizontal="left" vertical="top" wrapText="1"/>
    </xf>
    <xf numFmtId="0" fontId="0" fillId="0" borderId="34" xfId="0" applyBorder="1" applyAlignment="1">
      <alignment horizontal="left" vertical="top" wrapText="1"/>
    </xf>
    <xf numFmtId="166" fontId="0" fillId="0" borderId="8" xfId="0" applyNumberFormat="1" applyBorder="1" applyAlignment="1">
      <alignment horizontal="center"/>
    </xf>
    <xf numFmtId="0" fontId="0" fillId="0" borderId="8" xfId="0" applyFont="1" applyFill="1" applyBorder="1"/>
    <xf numFmtId="0" fontId="0" fillId="0" borderId="8" xfId="0" applyFont="1" applyFill="1" applyBorder="1" applyAlignment="1"/>
    <xf numFmtId="0" fontId="0" fillId="0" borderId="8" xfId="0" applyNumberFormat="1" applyFont="1" applyFill="1" applyBorder="1" applyAlignment="1"/>
    <xf numFmtId="2" fontId="0" fillId="0" borderId="0" xfId="0" applyNumberFormat="1"/>
    <xf numFmtId="14" fontId="0" fillId="0" borderId="0" xfId="0" applyNumberFormat="1"/>
    <xf numFmtId="0" fontId="0" fillId="3" borderId="34" xfId="0" applyFill="1" applyBorder="1" applyAlignment="1">
      <alignment horizontal="left" vertical="top" wrapText="1"/>
    </xf>
    <xf numFmtId="0" fontId="0" fillId="3" borderId="35" xfId="0" applyFill="1" applyBorder="1" applyAlignment="1">
      <alignment horizontal="center" vertical="top" wrapText="1"/>
    </xf>
    <xf numFmtId="164" fontId="0" fillId="3" borderId="35" xfId="0" applyNumberFormat="1" applyFont="1" applyFill="1" applyBorder="1" applyAlignment="1">
      <alignment horizontal="center"/>
    </xf>
    <xf numFmtId="165" fontId="0" fillId="3" borderId="35" xfId="0" applyNumberFormat="1" applyFont="1" applyFill="1" applyBorder="1" applyAlignment="1">
      <alignment horizontal="center"/>
    </xf>
    <xf numFmtId="0" fontId="0" fillId="3" borderId="35" xfId="0" applyFill="1" applyBorder="1" applyAlignment="1">
      <alignment horizontal="left" vertical="top" wrapText="1"/>
    </xf>
    <xf numFmtId="0" fontId="0" fillId="3" borderId="33" xfId="0" applyNumberFormat="1" applyFill="1" applyBorder="1" applyAlignment="1">
      <alignment horizontal="center" vertical="top" wrapText="1"/>
    </xf>
    <xf numFmtId="0" fontId="14" fillId="0" borderId="0" xfId="0" applyFont="1" applyAlignment="1">
      <alignment horizontal="center" vertical="top" wrapText="1"/>
    </xf>
    <xf numFmtId="0" fontId="14" fillId="0" borderId="0" xfId="0" applyFont="1"/>
    <xf numFmtId="164" fontId="0" fillId="0" borderId="0" xfId="0" applyNumberFormat="1" applyAlignment="1">
      <alignment horizontal="center"/>
    </xf>
    <xf numFmtId="5" fontId="0" fillId="5" borderId="7" xfId="22" applyNumberFormat="1" applyFont="1" applyFill="1" applyBorder="1" applyAlignment="1">
      <alignment horizontal="center" vertical="center" wrapText="1"/>
    </xf>
    <xf numFmtId="165" fontId="0" fillId="5" borderId="31" xfId="2" applyNumberFormat="1" applyFont="1" applyFill="1" applyBorder="1" applyAlignment="1">
      <alignment horizontal="center" vertical="center" wrapText="1"/>
    </xf>
    <xf numFmtId="2" fontId="0" fillId="3" borderId="8" xfId="0" applyNumberFormat="1" applyFont="1" applyFill="1" applyBorder="1" applyAlignment="1">
      <alignment horizontal="center"/>
    </xf>
    <xf numFmtId="0" fontId="0" fillId="0" borderId="34" xfId="0" applyFill="1" applyBorder="1" applyAlignment="1">
      <alignment horizontal="center" vertical="top" wrapText="1"/>
    </xf>
    <xf numFmtId="0" fontId="0" fillId="0" borderId="33" xfId="0" applyFill="1" applyBorder="1"/>
    <xf numFmtId="10" fontId="0" fillId="0" borderId="41" xfId="2" applyNumberFormat="1" applyFont="1" applyBorder="1" applyAlignment="1">
      <alignment horizontal="center" vertical="center" wrapText="1"/>
    </xf>
    <xf numFmtId="0" fontId="0" fillId="0" borderId="43" xfId="0" applyBorder="1" applyAlignment="1">
      <alignment horizontal="center" vertical="top" wrapText="1"/>
    </xf>
    <xf numFmtId="169" fontId="0" fillId="0" borderId="41" xfId="0" applyNumberFormat="1" applyBorder="1" applyAlignment="1">
      <alignment horizontal="center" vertical="center" wrapText="1"/>
    </xf>
    <xf numFmtId="164" fontId="0" fillId="0" borderId="0" xfId="0" applyNumberFormat="1" applyFont="1" applyBorder="1" applyAlignment="1">
      <alignment horizontal="center" vertical="center"/>
    </xf>
    <xf numFmtId="0" fontId="0" fillId="0" borderId="27" xfId="0" applyFont="1" applyFill="1" applyBorder="1" applyAlignment="1">
      <alignment horizontal="center"/>
    </xf>
    <xf numFmtId="2" fontId="0" fillId="5" borderId="25" xfId="0" applyNumberFormat="1" applyFill="1" applyBorder="1" applyAlignment="1">
      <alignment horizontal="center" vertical="center" wrapText="1"/>
    </xf>
    <xf numFmtId="2" fontId="0" fillId="5" borderId="8" xfId="0" applyNumberFormat="1" applyFill="1" applyBorder="1" applyAlignment="1">
      <alignment horizontal="center" vertical="center" wrapText="1"/>
    </xf>
    <xf numFmtId="2" fontId="0" fillId="5" borderId="31" xfId="0" applyNumberFormat="1" applyFill="1" applyBorder="1" applyAlignment="1">
      <alignment horizontal="center" vertical="center" wrapText="1"/>
    </xf>
    <xf numFmtId="170" fontId="0" fillId="0" borderId="0" xfId="0" applyNumberFormat="1"/>
    <xf numFmtId="165" fontId="0" fillId="5" borderId="8" xfId="2" applyNumberFormat="1" applyFont="1" applyFill="1" applyBorder="1" applyAlignment="1">
      <alignment horizontal="center" vertical="center" wrapText="1"/>
    </xf>
    <xf numFmtId="14" fontId="0" fillId="0" borderId="35" xfId="0" applyNumberFormat="1" applyFont="1" applyFill="1" applyBorder="1" applyAlignment="1">
      <alignment horizontal="center"/>
    </xf>
    <xf numFmtId="0" fontId="15" fillId="0" borderId="0" xfId="0" applyFont="1"/>
    <xf numFmtId="0" fontId="15" fillId="0" borderId="0" xfId="0" applyFont="1" applyAlignment="1">
      <alignment wrapText="1"/>
    </xf>
    <xf numFmtId="2" fontId="15" fillId="0" borderId="0" xfId="0" applyNumberFormat="1" applyFont="1" applyAlignment="1">
      <alignment wrapText="1"/>
    </xf>
    <xf numFmtId="0" fontId="0" fillId="0" borderId="29" xfId="0" applyFont="1" applyFill="1" applyBorder="1" applyAlignment="1">
      <alignment horizontal="center"/>
    </xf>
    <xf numFmtId="0" fontId="15" fillId="0" borderId="0" xfId="0" applyFont="1" applyFill="1"/>
    <xf numFmtId="0" fontId="0" fillId="0" borderId="35" xfId="0" applyFont="1" applyFill="1" applyBorder="1"/>
    <xf numFmtId="170" fontId="0" fillId="0" borderId="8" xfId="0" applyNumberFormat="1" applyFont="1" applyFill="1" applyBorder="1" applyAlignment="1">
      <alignment horizontal="center"/>
    </xf>
    <xf numFmtId="0" fontId="0" fillId="0" borderId="35" xfId="0" applyFont="1" applyFill="1" applyBorder="1" applyAlignment="1"/>
    <xf numFmtId="2" fontId="0" fillId="0" borderId="0" xfId="0" applyNumberFormat="1" applyFill="1"/>
    <xf numFmtId="0" fontId="0" fillId="0" borderId="35" xfId="0" applyFill="1" applyBorder="1" applyAlignment="1"/>
    <xf numFmtId="0" fontId="2" fillId="0" borderId="0" xfId="0" applyFont="1" applyFill="1"/>
    <xf numFmtId="1" fontId="0" fillId="0" borderId="8" xfId="0" applyNumberFormat="1" applyFont="1" applyBorder="1" applyAlignment="1">
      <alignment horizontal="center"/>
    </xf>
    <xf numFmtId="1" fontId="0" fillId="0" borderId="44" xfId="0" applyNumberFormat="1" applyFont="1" applyFill="1" applyBorder="1" applyAlignment="1">
      <alignment horizontal="center"/>
    </xf>
    <xf numFmtId="1" fontId="0" fillId="0" borderId="45" xfId="0" applyNumberFormat="1" applyFont="1" applyFill="1" applyBorder="1" applyAlignment="1">
      <alignment horizontal="center"/>
    </xf>
    <xf numFmtId="2" fontId="0" fillId="0" borderId="44" xfId="0" applyNumberFormat="1" applyFont="1" applyFill="1" applyBorder="1" applyAlignment="1">
      <alignment horizontal="center"/>
    </xf>
    <xf numFmtId="2" fontId="0" fillId="0" borderId="45" xfId="0" applyNumberFormat="1" applyFont="1" applyFill="1" applyBorder="1" applyAlignment="1">
      <alignment horizontal="center"/>
    </xf>
    <xf numFmtId="0" fontId="0" fillId="0" borderId="44" xfId="0" applyFont="1" applyFill="1" applyBorder="1"/>
    <xf numFmtId="1" fontId="0" fillId="0" borderId="8" xfId="0" applyNumberFormat="1" applyFont="1" applyFill="1" applyBorder="1" applyAlignment="1">
      <alignment horizontal="center"/>
    </xf>
    <xf numFmtId="1" fontId="0" fillId="0" borderId="43" xfId="0" applyNumberFormat="1" applyFont="1" applyFill="1" applyBorder="1" applyAlignment="1">
      <alignment horizontal="center"/>
    </xf>
    <xf numFmtId="164" fontId="0" fillId="0" borderId="8" xfId="0" applyNumberFormat="1" applyBorder="1" applyAlignment="1">
      <alignment horizontal="center"/>
    </xf>
    <xf numFmtId="6" fontId="0" fillId="0" borderId="0" xfId="0" applyNumberFormat="1"/>
    <xf numFmtId="2" fontId="0" fillId="3" borderId="8" xfId="0" applyNumberFormat="1" applyFont="1" applyFill="1" applyBorder="1" applyAlignment="1">
      <alignment horizontal="center" vertical="top" wrapText="1"/>
    </xf>
    <xf numFmtId="2" fontId="0" fillId="3" borderId="8" xfId="0" applyNumberFormat="1" applyFill="1" applyBorder="1" applyAlignment="1">
      <alignment horizontal="center" vertical="top" wrapText="1"/>
    </xf>
    <xf numFmtId="2" fontId="0" fillId="3" borderId="35" xfId="0" applyNumberFormat="1" applyFont="1" applyFill="1" applyBorder="1" applyAlignment="1">
      <alignment horizontal="center" vertical="top" wrapText="1"/>
    </xf>
    <xf numFmtId="2" fontId="0" fillId="3" borderId="31" xfId="0" applyNumberFormat="1" applyFill="1" applyBorder="1" applyAlignment="1">
      <alignment horizontal="center" vertical="top" wrapText="1"/>
    </xf>
    <xf numFmtId="0" fontId="0" fillId="0" borderId="29" xfId="0" applyNumberFormat="1" applyFill="1" applyBorder="1" applyAlignment="1">
      <alignment horizontal="center" vertical="top" wrapText="1"/>
    </xf>
    <xf numFmtId="168" fontId="3" fillId="0" borderId="31" xfId="0" applyNumberFormat="1" applyFont="1" applyFill="1" applyBorder="1" applyAlignment="1">
      <alignment horizontal="center" vertical="center"/>
    </xf>
    <xf numFmtId="164" fontId="3" fillId="0" borderId="31" xfId="0" applyNumberFormat="1" applyFont="1" applyFill="1" applyBorder="1" applyAlignment="1">
      <alignment horizontal="center" vertical="center"/>
    </xf>
    <xf numFmtId="5" fontId="1" fillId="0" borderId="6" xfId="1" applyNumberFormat="1" applyFont="1" applyFill="1" applyBorder="1" applyAlignment="1">
      <alignment horizontal="center"/>
    </xf>
    <xf numFmtId="5" fontId="0" fillId="0" borderId="6" xfId="0" applyNumberFormat="1" applyFont="1" applyBorder="1" applyAlignment="1" applyProtection="1">
      <alignment horizontal="center"/>
      <protection locked="0"/>
    </xf>
    <xf numFmtId="42" fontId="1" fillId="0" borderId="0" xfId="1" applyNumberFormat="1" applyFont="1"/>
    <xf numFmtId="42" fontId="0" fillId="0" borderId="0" xfId="0" applyNumberFormat="1"/>
    <xf numFmtId="0" fontId="0" fillId="0" borderId="1" xfId="0" applyBorder="1" applyAlignment="1">
      <alignment horizontal="center"/>
    </xf>
    <xf numFmtId="0" fontId="11" fillId="0" borderId="0" xfId="0" applyFont="1" applyFill="1" applyBorder="1" applyAlignment="1" applyProtection="1">
      <alignment horizontal="left" wrapText="1"/>
      <protection locked="0"/>
    </xf>
    <xf numFmtId="0" fontId="7" fillId="0" borderId="0" xfId="0" applyFont="1" applyAlignment="1">
      <alignment horizontal="center" vertical="center" wrapText="1"/>
    </xf>
    <xf numFmtId="0" fontId="0" fillId="0" borderId="0" xfId="0" applyFill="1" applyAlignment="1">
      <alignment horizontal="left" vertical="top" wrapText="1"/>
    </xf>
    <xf numFmtId="0" fontId="11" fillId="0" borderId="0" xfId="0" applyFont="1" applyFill="1" applyBorder="1" applyAlignment="1" applyProtection="1">
      <alignment horizontal="left" vertical="top" wrapText="1"/>
      <protection locked="0"/>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1" fillId="0" borderId="0" xfId="0" applyFont="1" applyAlignment="1" applyProtection="1">
      <alignment horizontal="left" wrapText="1"/>
      <protection locked="0"/>
    </xf>
    <xf numFmtId="0" fontId="3" fillId="0" borderId="0" xfId="0" applyFont="1" applyAlignment="1">
      <alignment horizontal="center" vertical="center" wrapText="1"/>
    </xf>
    <xf numFmtId="0" fontId="7" fillId="0" borderId="0" xfId="0" applyFont="1" applyAlignment="1">
      <alignment horizontal="center" wrapText="1"/>
    </xf>
  </cellXfs>
  <cellStyles count="24">
    <cellStyle name="Comma" xfId="1" builtinId="3"/>
    <cellStyle name="Comma 2" xfId="23"/>
    <cellStyle name="Currency" xfId="2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Hyperlink" xfId="3" builtinId="8"/>
    <cellStyle name="Normal" xfId="0" builtinId="0"/>
    <cellStyle name="Normal 10" xfId="21"/>
    <cellStyle name="Normal_Sheet1"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whrub14/Documents/WPRP/ANNUAL%20REPORT/FAP%20FY%2018/ImperviousLoadReduxCredit%20Updated%20Financials%2011-8-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valent Imp Area"/>
      <sheetName val="Total Nitrogen"/>
      <sheetName val="Total Phosphorus"/>
      <sheetName val="Total TSS"/>
      <sheetName val="Baseline Projects"/>
      <sheetName val="RestBMPs"/>
      <sheetName val="AlternativeCreditProtocol_1"/>
      <sheetName val="StreamRestoration"/>
      <sheetName val="FY19 BMP Under Design_No Data "/>
      <sheetName val="FY19 Alt BMP UnderDesign NoData"/>
      <sheetName val="Shoreline Restoration"/>
      <sheetName val="OutfallStabilizations"/>
      <sheetName val="ImperviousSurfaceRemoval"/>
      <sheetName val="StreetSweeping"/>
      <sheetName val="InletCleaning"/>
      <sheetName val="Septic"/>
      <sheetName val="DataDictionary"/>
      <sheetName val="DropDownLists"/>
      <sheetName val="FootNotes"/>
      <sheetName val="Projects on hold or cancelled"/>
      <sheetName val="Shoreline Projec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B2" t="str">
            <v>CIP-BMP</v>
          </cell>
        </row>
        <row r="3">
          <cell r="B3" t="str">
            <v>CIP-SPSC</v>
          </cell>
        </row>
        <row r="4">
          <cell r="B4" t="str">
            <v>NGO</v>
          </cell>
        </row>
      </sheetData>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wmich20@aacounty.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120" zoomScaleNormal="120" workbookViewId="0">
      <selection activeCell="B11" sqref="B11"/>
    </sheetView>
  </sheetViews>
  <sheetFormatPr defaultColWidth="8.85546875" defaultRowHeight="15" x14ac:dyDescent="0.25"/>
  <cols>
    <col min="1" max="1" width="36.42578125" customWidth="1"/>
    <col min="2" max="2" width="45.42578125" customWidth="1"/>
  </cols>
  <sheetData>
    <row r="1" spans="1:2" x14ac:dyDescent="0.25">
      <c r="A1" s="368" t="s">
        <v>80</v>
      </c>
      <c r="B1" s="368"/>
    </row>
    <row r="2" spans="1:2" x14ac:dyDescent="0.25">
      <c r="A2" s="1" t="s">
        <v>46</v>
      </c>
      <c r="B2" s="1" t="s">
        <v>138</v>
      </c>
    </row>
    <row r="3" spans="1:2" x14ac:dyDescent="0.25">
      <c r="A3" s="2" t="s">
        <v>52</v>
      </c>
      <c r="B3" s="2" t="s">
        <v>139</v>
      </c>
    </row>
    <row r="4" spans="1:2" x14ac:dyDescent="0.25">
      <c r="A4" s="2" t="s">
        <v>47</v>
      </c>
      <c r="B4" s="2" t="s">
        <v>140</v>
      </c>
    </row>
    <row r="5" spans="1:2" x14ac:dyDescent="0.25">
      <c r="A5" s="2" t="s">
        <v>86</v>
      </c>
      <c r="B5" s="3" t="s">
        <v>141</v>
      </c>
    </row>
    <row r="6" spans="1:2" x14ac:dyDescent="0.25">
      <c r="A6" s="3" t="s">
        <v>87</v>
      </c>
      <c r="B6" s="3" t="s">
        <v>142</v>
      </c>
    </row>
    <row r="7" spans="1:2" x14ac:dyDescent="0.25">
      <c r="A7" s="3" t="s">
        <v>88</v>
      </c>
      <c r="B7" s="3" t="s">
        <v>143</v>
      </c>
    </row>
    <row r="8" spans="1:2" x14ac:dyDescent="0.25">
      <c r="A8" s="3" t="s">
        <v>89</v>
      </c>
      <c r="B8" s="178">
        <v>21401</v>
      </c>
    </row>
    <row r="9" spans="1:2" x14ac:dyDescent="0.25">
      <c r="A9" s="2" t="s">
        <v>48</v>
      </c>
      <c r="B9" s="4" t="s">
        <v>144</v>
      </c>
    </row>
    <row r="10" spans="1:2" x14ac:dyDescent="0.25">
      <c r="A10" s="2" t="s">
        <v>133</v>
      </c>
      <c r="B10" s="5">
        <v>24981</v>
      </c>
    </row>
    <row r="11" spans="1:2" x14ac:dyDescent="0.25">
      <c r="A11" s="2" t="s">
        <v>53</v>
      </c>
      <c r="B11" s="3" t="s">
        <v>145</v>
      </c>
    </row>
    <row r="12" spans="1:2" x14ac:dyDescent="0.25">
      <c r="A12" s="6" t="s">
        <v>54</v>
      </c>
      <c r="B12" s="7">
        <v>2019</v>
      </c>
    </row>
    <row r="15" spans="1:2" x14ac:dyDescent="0.25">
      <c r="A15" s="76" t="s">
        <v>15</v>
      </c>
    </row>
    <row r="16" spans="1:2" ht="33.75" customHeight="1" x14ac:dyDescent="0.25">
      <c r="A16" s="369" t="s">
        <v>32</v>
      </c>
      <c r="B16" s="369"/>
    </row>
    <row r="18" spans="2:2" x14ac:dyDescent="0.25">
      <c r="B18" t="s">
        <v>127</v>
      </c>
    </row>
  </sheetData>
  <customSheetViews>
    <customSheetView guid="{3A7AD114-4D74-4E12-B483-5F1EDDDDB7E3}">
      <selection activeCell="B5" sqref="B5"/>
      <pageMargins left="0.7" right="0.7" top="0.75" bottom="0.75" header="0.3" footer="0.3"/>
      <pageSetup orientation="portrait"/>
    </customSheetView>
    <customSheetView guid="{19EB585C-0FBE-4704-A3C1-6BA57A72C50F}" scale="130">
      <selection activeCell="H22" sqref="H22"/>
      <pageMargins left="0.7" right="0.7" top="0.75" bottom="0.75" header="0.3" footer="0.3"/>
      <pageSetup orientation="portrait"/>
    </customSheetView>
  </customSheetViews>
  <mergeCells count="2">
    <mergeCell ref="A1:B1"/>
    <mergeCell ref="A16:B16"/>
  </mergeCells>
  <hyperlinks>
    <hyperlink ref="B9"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7"/>
  <sheetViews>
    <sheetView zoomScalePageLayoutView="115" workbookViewId="0">
      <pane ySplit="8" topLeftCell="A9" activePane="bottomLeft" state="frozen"/>
      <selection pane="bottomLeft" activeCell="D38" sqref="D38"/>
    </sheetView>
  </sheetViews>
  <sheetFormatPr defaultColWidth="8.85546875" defaultRowHeight="15" x14ac:dyDescent="0.25"/>
  <cols>
    <col min="1" max="1" width="28.140625" customWidth="1"/>
    <col min="2" max="2" width="16.28515625" customWidth="1"/>
    <col min="3" max="3" width="15" customWidth="1"/>
    <col min="4" max="4" width="17.85546875" customWidth="1"/>
    <col min="5" max="5" width="15.7109375" customWidth="1"/>
    <col min="6" max="6" width="19.7109375" customWidth="1"/>
    <col min="7" max="7" width="21.7109375" customWidth="1"/>
    <col min="8" max="8" width="11.28515625" bestFit="1" customWidth="1"/>
    <col min="9" max="9" width="12.28515625" customWidth="1"/>
    <col min="11" max="11" width="11" bestFit="1" customWidth="1"/>
    <col min="12" max="12" width="13.85546875" bestFit="1" customWidth="1"/>
    <col min="14" max="14" width="16" customWidth="1"/>
  </cols>
  <sheetData>
    <row r="1" spans="1:10" ht="15" customHeight="1" x14ac:dyDescent="0.25">
      <c r="A1" s="370" t="s">
        <v>117</v>
      </c>
      <c r="B1" s="370"/>
      <c r="C1" s="370"/>
      <c r="D1" s="370"/>
      <c r="E1" s="370"/>
      <c r="F1" s="370"/>
      <c r="G1" s="370"/>
      <c r="H1" s="128"/>
      <c r="I1" s="128"/>
      <c r="J1" s="128"/>
    </row>
    <row r="2" spans="1:10" x14ac:dyDescent="0.25">
      <c r="A2" s="370"/>
      <c r="B2" s="370"/>
      <c r="C2" s="370"/>
      <c r="D2" s="370"/>
      <c r="E2" s="370"/>
      <c r="F2" s="370"/>
      <c r="G2" s="370"/>
      <c r="H2" s="128"/>
      <c r="I2" s="128"/>
      <c r="J2" s="128"/>
    </row>
    <row r="3" spans="1:10" x14ac:dyDescent="0.25">
      <c r="A3" s="371" t="s">
        <v>131</v>
      </c>
      <c r="B3" s="371"/>
      <c r="C3" s="371"/>
      <c r="D3" s="371"/>
      <c r="E3" s="371"/>
      <c r="F3" s="371"/>
      <c r="G3" s="371"/>
      <c r="H3" s="193"/>
      <c r="I3" s="193"/>
      <c r="J3" s="193"/>
    </row>
    <row r="4" spans="1:10" ht="20.25" customHeight="1" x14ac:dyDescent="0.25">
      <c r="A4" s="371"/>
      <c r="B4" s="371"/>
      <c r="C4" s="371"/>
      <c r="D4" s="371"/>
      <c r="E4" s="371"/>
      <c r="F4" s="371"/>
      <c r="G4" s="371"/>
      <c r="H4" s="193"/>
      <c r="I4" s="193"/>
      <c r="J4" s="193"/>
    </row>
    <row r="5" spans="1:10" x14ac:dyDescent="0.25">
      <c r="B5" s="193"/>
      <c r="C5" s="193"/>
      <c r="D5" s="193"/>
      <c r="E5" s="193"/>
      <c r="F5" s="193"/>
      <c r="G5" s="193"/>
      <c r="H5" s="193"/>
      <c r="I5" s="193"/>
      <c r="J5" s="193"/>
    </row>
    <row r="6" spans="1:10" x14ac:dyDescent="0.25">
      <c r="A6" s="9" t="s">
        <v>92</v>
      </c>
      <c r="B6" s="157">
        <f>'MS4 Information'!B10</f>
        <v>24981</v>
      </c>
      <c r="C6" s="22"/>
      <c r="D6" s="22"/>
      <c r="E6" s="22"/>
      <c r="F6" s="11" t="s">
        <v>0</v>
      </c>
      <c r="G6" s="74">
        <v>0.2</v>
      </c>
    </row>
    <row r="7" spans="1:10" ht="15.75" thickBot="1" x14ac:dyDescent="0.3">
      <c r="A7" s="22"/>
      <c r="B7" s="22"/>
      <c r="C7" s="22"/>
      <c r="D7" s="22"/>
      <c r="E7" s="22"/>
      <c r="F7" s="16"/>
      <c r="G7" s="16"/>
    </row>
    <row r="8" spans="1:10" ht="30" x14ac:dyDescent="0.25">
      <c r="A8" s="109" t="s">
        <v>49</v>
      </c>
      <c r="B8" s="103" t="s">
        <v>2</v>
      </c>
      <c r="C8" s="103" t="s">
        <v>3</v>
      </c>
      <c r="D8" s="103" t="s">
        <v>41</v>
      </c>
      <c r="E8" s="103" t="s">
        <v>74</v>
      </c>
      <c r="F8" s="103" t="s">
        <v>73</v>
      </c>
      <c r="G8" s="110" t="s">
        <v>90</v>
      </c>
    </row>
    <row r="9" spans="1:10" x14ac:dyDescent="0.25">
      <c r="A9" s="97" t="s">
        <v>118</v>
      </c>
      <c r="B9" s="86"/>
      <c r="C9" s="86"/>
      <c r="D9" s="86"/>
      <c r="E9" s="86"/>
      <c r="F9" s="86"/>
      <c r="G9" s="98"/>
    </row>
    <row r="10" spans="1:10" ht="14.25" customHeight="1" x14ac:dyDescent="0.25">
      <c r="A10" s="120" t="s">
        <v>308</v>
      </c>
      <c r="B10" s="89" t="s">
        <v>307</v>
      </c>
      <c r="C10" s="300">
        <v>0.55000000000000004</v>
      </c>
      <c r="D10" s="26">
        <v>41808</v>
      </c>
      <c r="E10" s="90">
        <f>C10/$B$6</f>
        <v>2.201673271686482E-5</v>
      </c>
      <c r="F10" s="111" t="s">
        <v>165</v>
      </c>
      <c r="G10" s="119" t="s">
        <v>479</v>
      </c>
      <c r="H10" s="148"/>
    </row>
    <row r="11" spans="1:10" ht="14.25" customHeight="1" x14ac:dyDescent="0.25">
      <c r="A11" s="120" t="s">
        <v>308</v>
      </c>
      <c r="B11" s="89" t="s">
        <v>307</v>
      </c>
      <c r="C11" s="300">
        <v>14.04</v>
      </c>
      <c r="D11" s="26">
        <v>167914</v>
      </c>
      <c r="E11" s="90">
        <f t="shared" ref="E11:E35" si="0">C11/$B$6</f>
        <v>5.6202714062687635E-4</v>
      </c>
      <c r="F11" s="111" t="s">
        <v>165</v>
      </c>
      <c r="G11" s="361" t="s">
        <v>478</v>
      </c>
    </row>
    <row r="12" spans="1:10" ht="14.25" customHeight="1" x14ac:dyDescent="0.25">
      <c r="A12" s="120" t="s">
        <v>308</v>
      </c>
      <c r="B12" s="112" t="s">
        <v>307</v>
      </c>
      <c r="C12" s="300">
        <v>122.68</v>
      </c>
      <c r="D12" s="26">
        <v>310000</v>
      </c>
      <c r="E12" s="90">
        <f t="shared" si="0"/>
        <v>4.9109323085545021E-3</v>
      </c>
      <c r="F12" s="111" t="s">
        <v>165</v>
      </c>
      <c r="G12" s="361" t="s">
        <v>309</v>
      </c>
      <c r="H12" s="148"/>
    </row>
    <row r="13" spans="1:10" ht="14.25" customHeight="1" x14ac:dyDescent="0.25">
      <c r="A13" s="120" t="s">
        <v>308</v>
      </c>
      <c r="B13" s="112" t="s">
        <v>307</v>
      </c>
      <c r="C13" s="300">
        <v>239.81</v>
      </c>
      <c r="D13" s="26">
        <v>437012.8</v>
      </c>
      <c r="E13" s="90">
        <f t="shared" si="0"/>
        <v>9.5996957687842759E-3</v>
      </c>
      <c r="F13" s="111" t="s">
        <v>165</v>
      </c>
      <c r="G13" s="361" t="s">
        <v>310</v>
      </c>
    </row>
    <row r="14" spans="1:10" ht="14.25" customHeight="1" x14ac:dyDescent="0.25">
      <c r="A14" s="120" t="s">
        <v>308</v>
      </c>
      <c r="B14" s="112" t="s">
        <v>307</v>
      </c>
      <c r="C14" s="300">
        <v>144.32000000000002</v>
      </c>
      <c r="D14" s="26">
        <v>275515</v>
      </c>
      <c r="E14" s="90">
        <f t="shared" si="0"/>
        <v>5.7771906649053293E-3</v>
      </c>
      <c r="F14" s="111" t="s">
        <v>165</v>
      </c>
      <c r="G14" s="361" t="s">
        <v>311</v>
      </c>
      <c r="H14" s="148"/>
    </row>
    <row r="15" spans="1:10" ht="14.25" customHeight="1" x14ac:dyDescent="0.25">
      <c r="A15" s="120" t="s">
        <v>308</v>
      </c>
      <c r="B15" s="112" t="s">
        <v>307</v>
      </c>
      <c r="C15" s="300">
        <v>168.9</v>
      </c>
      <c r="D15" s="26">
        <v>283780</v>
      </c>
      <c r="E15" s="90">
        <f t="shared" si="0"/>
        <v>6.7611384652335781E-3</v>
      </c>
      <c r="F15" s="111" t="s">
        <v>380</v>
      </c>
      <c r="G15" s="361" t="s">
        <v>611</v>
      </c>
      <c r="H15" s="148"/>
    </row>
    <row r="16" spans="1:10" ht="14.25" customHeight="1" x14ac:dyDescent="0.25">
      <c r="A16" s="120" t="s">
        <v>308</v>
      </c>
      <c r="B16" s="112" t="s">
        <v>307</v>
      </c>
      <c r="C16" s="300">
        <v>168.9</v>
      </c>
      <c r="D16" s="26">
        <v>292293</v>
      </c>
      <c r="E16" s="90">
        <f t="shared" si="0"/>
        <v>6.7611384652335781E-3</v>
      </c>
      <c r="F16" s="111" t="s">
        <v>616</v>
      </c>
      <c r="G16" s="361" t="s">
        <v>612</v>
      </c>
      <c r="H16" s="148"/>
    </row>
    <row r="17" spans="1:8" ht="14.25" customHeight="1" x14ac:dyDescent="0.25">
      <c r="A17" s="120" t="s">
        <v>308</v>
      </c>
      <c r="B17" s="112" t="s">
        <v>307</v>
      </c>
      <c r="C17" s="300">
        <v>168.9</v>
      </c>
      <c r="D17" s="26">
        <v>301062</v>
      </c>
      <c r="E17" s="90">
        <f t="shared" si="0"/>
        <v>6.7611384652335781E-3</v>
      </c>
      <c r="F17" s="111" t="s">
        <v>616</v>
      </c>
      <c r="G17" s="361" t="s">
        <v>613</v>
      </c>
      <c r="H17" s="148"/>
    </row>
    <row r="18" spans="1:8" ht="14.25" customHeight="1" x14ac:dyDescent="0.25">
      <c r="A18" s="120" t="s">
        <v>308</v>
      </c>
      <c r="B18" s="112" t="s">
        <v>307</v>
      </c>
      <c r="C18" s="300">
        <v>168.9</v>
      </c>
      <c r="D18" s="26">
        <v>310094</v>
      </c>
      <c r="E18" s="90">
        <f t="shared" si="0"/>
        <v>6.7611384652335781E-3</v>
      </c>
      <c r="F18" s="111" t="s">
        <v>616</v>
      </c>
      <c r="G18" s="361" t="s">
        <v>614</v>
      </c>
      <c r="H18" s="148"/>
    </row>
    <row r="19" spans="1:8" ht="14.25" customHeight="1" x14ac:dyDescent="0.25">
      <c r="A19" s="120" t="s">
        <v>308</v>
      </c>
      <c r="B19" s="112" t="s">
        <v>307</v>
      </c>
      <c r="C19" s="300">
        <v>168.9</v>
      </c>
      <c r="D19" s="26">
        <v>319397</v>
      </c>
      <c r="E19" s="90">
        <f t="shared" si="0"/>
        <v>6.7611384652335781E-3</v>
      </c>
      <c r="F19" s="111" t="s">
        <v>616</v>
      </c>
      <c r="G19" s="361" t="s">
        <v>615</v>
      </c>
      <c r="H19" s="148"/>
    </row>
    <row r="20" spans="1:8" ht="14.25" customHeight="1" x14ac:dyDescent="0.25">
      <c r="A20" s="120" t="s">
        <v>376</v>
      </c>
      <c r="B20" s="112" t="s">
        <v>307</v>
      </c>
      <c r="C20" s="300">
        <v>0</v>
      </c>
      <c r="D20" s="26">
        <v>474498.89</v>
      </c>
      <c r="E20" s="90">
        <f t="shared" si="0"/>
        <v>0</v>
      </c>
      <c r="F20" s="111" t="s">
        <v>165</v>
      </c>
      <c r="G20" s="361" t="s">
        <v>309</v>
      </c>
      <c r="H20" s="148"/>
    </row>
    <row r="21" spans="1:8" ht="14.25" customHeight="1" x14ac:dyDescent="0.25">
      <c r="A21" s="120" t="s">
        <v>376</v>
      </c>
      <c r="B21" s="112" t="s">
        <v>307</v>
      </c>
      <c r="C21" s="300">
        <v>96.48</v>
      </c>
      <c r="D21" s="26">
        <v>616197.39999999991</v>
      </c>
      <c r="E21" s="90">
        <f t="shared" si="0"/>
        <v>3.8621352227693048E-3</v>
      </c>
      <c r="F21" s="111" t="s">
        <v>165</v>
      </c>
      <c r="G21" s="361" t="s">
        <v>310</v>
      </c>
      <c r="H21" s="148"/>
    </row>
    <row r="22" spans="1:8" ht="14.25" customHeight="1" x14ac:dyDescent="0.25">
      <c r="A22" s="120" t="s">
        <v>376</v>
      </c>
      <c r="B22" s="112" t="s">
        <v>307</v>
      </c>
      <c r="C22" s="300">
        <v>43.132000000000005</v>
      </c>
      <c r="D22" s="26">
        <v>597049</v>
      </c>
      <c r="E22" s="90">
        <f t="shared" si="0"/>
        <v>1.7265922100796608E-3</v>
      </c>
      <c r="F22" s="111" t="s">
        <v>165</v>
      </c>
      <c r="G22" s="361" t="s">
        <v>311</v>
      </c>
      <c r="H22" s="148"/>
    </row>
    <row r="23" spans="1:8" ht="14.25" customHeight="1" x14ac:dyDescent="0.25">
      <c r="A23" s="120" t="s">
        <v>376</v>
      </c>
      <c r="B23" s="112" t="s">
        <v>307</v>
      </c>
      <c r="C23" s="300">
        <v>69.8</v>
      </c>
      <c r="D23" s="26">
        <v>614960</v>
      </c>
      <c r="E23" s="90">
        <f t="shared" si="0"/>
        <v>2.7941235338857532E-3</v>
      </c>
      <c r="F23" s="111" t="s">
        <v>380</v>
      </c>
      <c r="G23" s="361" t="s">
        <v>611</v>
      </c>
      <c r="H23" s="148"/>
    </row>
    <row r="24" spans="1:8" ht="14.25" customHeight="1" x14ac:dyDescent="0.25">
      <c r="A24" s="120" t="s">
        <v>376</v>
      </c>
      <c r="B24" s="112" t="s">
        <v>307</v>
      </c>
      <c r="C24" s="300">
        <v>69.8</v>
      </c>
      <c r="D24" s="26">
        <v>633409</v>
      </c>
      <c r="E24" s="90">
        <f t="shared" si="0"/>
        <v>2.7941235338857532E-3</v>
      </c>
      <c r="F24" s="111" t="s">
        <v>616</v>
      </c>
      <c r="G24" s="361" t="s">
        <v>612</v>
      </c>
      <c r="H24" s="148"/>
    </row>
    <row r="25" spans="1:8" ht="14.25" customHeight="1" x14ac:dyDescent="0.25">
      <c r="A25" s="120" t="s">
        <v>376</v>
      </c>
      <c r="B25" s="112" t="s">
        <v>307</v>
      </c>
      <c r="C25" s="300">
        <v>69.8</v>
      </c>
      <c r="D25" s="26">
        <v>652411</v>
      </c>
      <c r="E25" s="90">
        <f t="shared" si="0"/>
        <v>2.7941235338857532E-3</v>
      </c>
      <c r="F25" s="111" t="s">
        <v>616</v>
      </c>
      <c r="G25" s="361" t="s">
        <v>613</v>
      </c>
      <c r="H25" s="148"/>
    </row>
    <row r="26" spans="1:8" ht="14.25" customHeight="1" x14ac:dyDescent="0.25">
      <c r="A26" s="120" t="s">
        <v>376</v>
      </c>
      <c r="B26" s="112" t="s">
        <v>307</v>
      </c>
      <c r="C26" s="300">
        <v>69.8</v>
      </c>
      <c r="D26" s="26">
        <v>671984</v>
      </c>
      <c r="E26" s="90">
        <f t="shared" si="0"/>
        <v>2.7941235338857532E-3</v>
      </c>
      <c r="F26" s="111" t="s">
        <v>616</v>
      </c>
      <c r="G26" s="361" t="s">
        <v>614</v>
      </c>
      <c r="H26" s="148"/>
    </row>
    <row r="27" spans="1:8" ht="14.25" customHeight="1" x14ac:dyDescent="0.25">
      <c r="A27" s="120" t="s">
        <v>376</v>
      </c>
      <c r="B27" s="112" t="s">
        <v>307</v>
      </c>
      <c r="C27" s="300">
        <v>69.8</v>
      </c>
      <c r="D27" s="26">
        <v>692144</v>
      </c>
      <c r="E27" s="90">
        <f t="shared" si="0"/>
        <v>2.7941235338857532E-3</v>
      </c>
      <c r="F27" s="111" t="s">
        <v>616</v>
      </c>
      <c r="G27" s="361" t="s">
        <v>615</v>
      </c>
      <c r="H27" s="148"/>
    </row>
    <row r="28" spans="1:8" ht="14.25" customHeight="1" x14ac:dyDescent="0.25">
      <c r="A28" s="120" t="s">
        <v>477</v>
      </c>
      <c r="B28" s="112" t="s">
        <v>307</v>
      </c>
      <c r="C28" s="300">
        <v>153.80000000000001</v>
      </c>
      <c r="D28" s="26">
        <v>0</v>
      </c>
      <c r="E28" s="90">
        <f t="shared" si="0"/>
        <v>6.1566790760978346E-3</v>
      </c>
      <c r="F28" s="111" t="s">
        <v>165</v>
      </c>
      <c r="G28" s="361" t="s">
        <v>309</v>
      </c>
      <c r="H28" s="148"/>
    </row>
    <row r="29" spans="1:8" ht="14.25" customHeight="1" x14ac:dyDescent="0.25">
      <c r="A29" s="120" t="s">
        <v>477</v>
      </c>
      <c r="B29" s="112" t="s">
        <v>307</v>
      </c>
      <c r="C29" s="300">
        <v>171.51</v>
      </c>
      <c r="D29" s="26">
        <v>0</v>
      </c>
      <c r="E29" s="90">
        <f t="shared" si="0"/>
        <v>6.8656178695808813E-3</v>
      </c>
      <c r="F29" s="111" t="s">
        <v>165</v>
      </c>
      <c r="G29" s="361" t="s">
        <v>310</v>
      </c>
      <c r="H29" s="148"/>
    </row>
    <row r="30" spans="1:8" ht="14.25" customHeight="1" x14ac:dyDescent="0.25">
      <c r="A30" s="118" t="s">
        <v>477</v>
      </c>
      <c r="B30" s="89" t="s">
        <v>307</v>
      </c>
      <c r="C30" s="300">
        <v>233.99</v>
      </c>
      <c r="D30" s="26">
        <v>0</v>
      </c>
      <c r="E30" s="90">
        <f t="shared" si="0"/>
        <v>9.3667187062167253E-3</v>
      </c>
      <c r="F30" s="111" t="s">
        <v>165</v>
      </c>
      <c r="G30" s="361" t="s">
        <v>311</v>
      </c>
    </row>
    <row r="31" spans="1:8" ht="14.25" customHeight="1" x14ac:dyDescent="0.25">
      <c r="A31" s="121" t="s">
        <v>477</v>
      </c>
      <c r="B31" s="114" t="s">
        <v>307</v>
      </c>
      <c r="C31" s="357">
        <v>186.4</v>
      </c>
      <c r="D31" s="115">
        <v>0</v>
      </c>
      <c r="E31" s="130">
        <f t="shared" si="0"/>
        <v>7.4616708698610947E-3</v>
      </c>
      <c r="F31" s="113" t="s">
        <v>380</v>
      </c>
      <c r="G31" s="122" t="s">
        <v>611</v>
      </c>
      <c r="H31" s="148"/>
    </row>
    <row r="32" spans="1:8" ht="14.25" customHeight="1" x14ac:dyDescent="0.25">
      <c r="A32" s="121" t="s">
        <v>477</v>
      </c>
      <c r="B32" s="114" t="s">
        <v>307</v>
      </c>
      <c r="C32" s="358">
        <v>186.4</v>
      </c>
      <c r="D32" s="115">
        <v>0</v>
      </c>
      <c r="E32" s="130">
        <f t="shared" si="0"/>
        <v>7.4616708698610947E-3</v>
      </c>
      <c r="F32" s="113" t="s">
        <v>616</v>
      </c>
      <c r="G32" s="123" t="s">
        <v>612</v>
      </c>
    </row>
    <row r="33" spans="1:10" ht="14.25" customHeight="1" x14ac:dyDescent="0.25">
      <c r="A33" s="121" t="s">
        <v>477</v>
      </c>
      <c r="B33" s="114" t="s">
        <v>307</v>
      </c>
      <c r="C33" s="357">
        <v>186.4</v>
      </c>
      <c r="D33" s="115">
        <v>0</v>
      </c>
      <c r="E33" s="130">
        <f t="shared" si="0"/>
        <v>7.4616708698610947E-3</v>
      </c>
      <c r="F33" s="113" t="s">
        <v>616</v>
      </c>
      <c r="G33" s="122" t="s">
        <v>613</v>
      </c>
      <c r="H33" s="148"/>
    </row>
    <row r="34" spans="1:10" ht="14.25" customHeight="1" x14ac:dyDescent="0.25">
      <c r="A34" s="311" t="s">
        <v>477</v>
      </c>
      <c r="B34" s="312" t="s">
        <v>307</v>
      </c>
      <c r="C34" s="359">
        <v>186.4</v>
      </c>
      <c r="D34" s="313">
        <v>0</v>
      </c>
      <c r="E34" s="314">
        <v>0</v>
      </c>
      <c r="F34" s="315" t="s">
        <v>616</v>
      </c>
      <c r="G34" s="316" t="s">
        <v>614</v>
      </c>
      <c r="H34" s="148"/>
    </row>
    <row r="35" spans="1:10" ht="14.25" customHeight="1" thickBot="1" x14ac:dyDescent="0.3">
      <c r="A35" s="226" t="s">
        <v>477</v>
      </c>
      <c r="B35" s="227" t="s">
        <v>307</v>
      </c>
      <c r="C35" s="360">
        <v>186.4</v>
      </c>
      <c r="D35" s="228">
        <v>0</v>
      </c>
      <c r="E35" s="229">
        <f t="shared" si="0"/>
        <v>7.4616708698610947E-3</v>
      </c>
      <c r="F35" s="230" t="s">
        <v>616</v>
      </c>
      <c r="G35" s="231" t="s">
        <v>615</v>
      </c>
    </row>
    <row r="36" spans="1:10" ht="30" customHeight="1" x14ac:dyDescent="0.25">
      <c r="A36" s="195" t="s">
        <v>102</v>
      </c>
      <c r="B36" s="196"/>
      <c r="C36" s="197">
        <f>(SUMIF(G10:G35,"FY19",C10:C35)+SUMIF(G10:G35,"FY20",C10:C35))/2</f>
        <v>425.1</v>
      </c>
      <c r="D36" s="320">
        <f>(SUMIF(G10:G35,"FY19",D10:D35)+SUMIF(G10:G35,"FY20",D10:D35))</f>
        <v>1824442</v>
      </c>
      <c r="E36" s="198">
        <f>(SUMIF(G10:G35,"FY19",E10:E35)+SUMIF(G10:G35,"FY20",E10:E35))/2</f>
        <v>1.7016932868980428E-2</v>
      </c>
      <c r="F36" s="199"/>
      <c r="G36" s="200"/>
      <c r="J36" s="232"/>
    </row>
    <row r="37" spans="1:10" ht="30" customHeight="1" thickBot="1" x14ac:dyDescent="0.3">
      <c r="A37" s="201" t="s">
        <v>103</v>
      </c>
      <c r="B37" s="202"/>
      <c r="C37" s="209">
        <f>C15+C23+C31</f>
        <v>425.1</v>
      </c>
      <c r="D37" s="203">
        <f>(SUMIF(G10:G35,"FY19",D10:D35))+'Spec Actions 4-202.1(j)(1)(i)5'!G19</f>
        <v>3134514.2</v>
      </c>
      <c r="E37" s="204">
        <f>(E15+E23+E31)</f>
        <v>1.7016932868980428E-2</v>
      </c>
      <c r="F37" s="205"/>
      <c r="G37" s="206"/>
      <c r="J37" s="232"/>
    </row>
    <row r="38" spans="1:10" ht="45" customHeight="1" thickBot="1" x14ac:dyDescent="0.3">
      <c r="A38" s="207" t="s">
        <v>134</v>
      </c>
      <c r="B38" s="208"/>
      <c r="C38" s="209">
        <f>C15+C23+C31</f>
        <v>425.1</v>
      </c>
      <c r="D38" s="210">
        <f>SUM(D12:D19,D21:D35)</f>
        <v>7007308.1999999993</v>
      </c>
      <c r="E38" s="321">
        <f>E15+E23+E31</f>
        <v>1.7016932868980428E-2</v>
      </c>
      <c r="F38" s="212"/>
      <c r="G38" s="213"/>
      <c r="J38" s="232"/>
    </row>
    <row r="39" spans="1:10" x14ac:dyDescent="0.25">
      <c r="A39" s="233" t="s">
        <v>4</v>
      </c>
      <c r="B39" s="234"/>
      <c r="C39" s="234"/>
      <c r="D39" s="234"/>
      <c r="E39" s="234"/>
      <c r="F39" s="234"/>
      <c r="G39" s="235"/>
    </row>
    <row r="40" spans="1:10" x14ac:dyDescent="0.25">
      <c r="A40" s="244" t="s">
        <v>257</v>
      </c>
      <c r="B40" s="93" t="s">
        <v>627</v>
      </c>
      <c r="C40" s="298">
        <v>5.3092524392757685</v>
      </c>
      <c r="D40" s="239">
        <v>0</v>
      </c>
      <c r="E40" s="293">
        <f t="shared" ref="E40:E102" si="1">C40/$B$6</f>
        <v>2.1253162160344937E-4</v>
      </c>
      <c r="F40" s="91" t="s">
        <v>165</v>
      </c>
      <c r="G40" s="339" t="s">
        <v>310</v>
      </c>
    </row>
    <row r="41" spans="1:10" x14ac:dyDescent="0.25">
      <c r="A41" s="244" t="s">
        <v>255</v>
      </c>
      <c r="B41" s="93" t="s">
        <v>628</v>
      </c>
      <c r="C41" s="298">
        <v>0.30976758347036004</v>
      </c>
      <c r="D41" s="239">
        <v>161026.37</v>
      </c>
      <c r="E41" s="293">
        <f t="shared" si="1"/>
        <v>1.2400127435665507E-5</v>
      </c>
      <c r="F41" s="91" t="s">
        <v>165</v>
      </c>
      <c r="G41" s="339" t="s">
        <v>310</v>
      </c>
    </row>
    <row r="42" spans="1:10" x14ac:dyDescent="0.25">
      <c r="A42" s="244" t="s">
        <v>163</v>
      </c>
      <c r="B42" s="93" t="s">
        <v>628</v>
      </c>
      <c r="C42" s="298">
        <v>6.4740741575320317</v>
      </c>
      <c r="D42" s="239">
        <v>370777.82</v>
      </c>
      <c r="E42" s="293">
        <f t="shared" si="1"/>
        <v>2.5915992784644455E-4</v>
      </c>
      <c r="F42" s="91" t="s">
        <v>165</v>
      </c>
      <c r="G42" s="339" t="s">
        <v>309</v>
      </c>
    </row>
    <row r="43" spans="1:10" x14ac:dyDescent="0.25">
      <c r="A43" s="244" t="s">
        <v>163</v>
      </c>
      <c r="B43" s="93" t="s">
        <v>628</v>
      </c>
      <c r="C43" s="298">
        <v>19.444700736082588</v>
      </c>
      <c r="D43" s="239">
        <v>1442444.5776190476</v>
      </c>
      <c r="E43" s="293">
        <f t="shared" si="1"/>
        <v>7.7837959793773616E-4</v>
      </c>
      <c r="F43" s="91" t="s">
        <v>165</v>
      </c>
      <c r="G43" s="339" t="s">
        <v>310</v>
      </c>
    </row>
    <row r="44" spans="1:10" x14ac:dyDescent="0.25">
      <c r="A44" s="244" t="s">
        <v>163</v>
      </c>
      <c r="B44" s="93" t="s">
        <v>628</v>
      </c>
      <c r="C44" s="298">
        <v>35.009517639035273</v>
      </c>
      <c r="D44" s="239">
        <v>648047.12761904765</v>
      </c>
      <c r="E44" s="293">
        <f t="shared" si="1"/>
        <v>1.4014458043727343E-3</v>
      </c>
      <c r="F44" s="91" t="s">
        <v>165</v>
      </c>
      <c r="G44" s="339" t="s">
        <v>311</v>
      </c>
    </row>
    <row r="45" spans="1:10" x14ac:dyDescent="0.25">
      <c r="A45" s="244" t="s">
        <v>256</v>
      </c>
      <c r="B45" s="93" t="s">
        <v>628</v>
      </c>
      <c r="C45" s="298">
        <v>0.21772081800141116</v>
      </c>
      <c r="D45" s="239">
        <v>161026.37</v>
      </c>
      <c r="E45" s="293">
        <f t="shared" si="1"/>
        <v>8.7154564669713453E-6</v>
      </c>
      <c r="F45" s="91" t="s">
        <v>165</v>
      </c>
      <c r="G45" s="339" t="s">
        <v>310</v>
      </c>
    </row>
    <row r="46" spans="1:10" x14ac:dyDescent="0.25">
      <c r="A46" s="244" t="s">
        <v>256</v>
      </c>
      <c r="B46" s="93" t="s">
        <v>628</v>
      </c>
      <c r="C46" s="298">
        <v>4.8970588235294121</v>
      </c>
      <c r="D46" s="239">
        <v>544328.13</v>
      </c>
      <c r="E46" s="293">
        <f t="shared" si="1"/>
        <v>1.9603133675711188E-4</v>
      </c>
      <c r="F46" s="91" t="s">
        <v>165</v>
      </c>
      <c r="G46" s="339" t="s">
        <v>311</v>
      </c>
    </row>
    <row r="47" spans="1:10" x14ac:dyDescent="0.25">
      <c r="A47" s="244" t="s">
        <v>159</v>
      </c>
      <c r="B47" s="93" t="s">
        <v>627</v>
      </c>
      <c r="C47" s="298">
        <v>0.50053458495303405</v>
      </c>
      <c r="D47" s="239">
        <v>0</v>
      </c>
      <c r="E47" s="293">
        <f t="shared" si="1"/>
        <v>2.0036611222650576E-5</v>
      </c>
      <c r="F47" s="91" t="s">
        <v>165</v>
      </c>
      <c r="G47" s="339" t="s">
        <v>479</v>
      </c>
    </row>
    <row r="48" spans="1:10" x14ac:dyDescent="0.25">
      <c r="A48" s="244" t="s">
        <v>159</v>
      </c>
      <c r="B48" s="93" t="s">
        <v>627</v>
      </c>
      <c r="C48" s="298">
        <v>0.18545454545454548</v>
      </c>
      <c r="D48" s="239">
        <v>23387</v>
      </c>
      <c r="E48" s="293">
        <f t="shared" si="1"/>
        <v>7.4238239243643359E-6</v>
      </c>
      <c r="F48" s="91" t="s">
        <v>165</v>
      </c>
      <c r="G48" s="339" t="s">
        <v>478</v>
      </c>
    </row>
    <row r="49" spans="1:9" x14ac:dyDescent="0.25">
      <c r="A49" s="244" t="s">
        <v>159</v>
      </c>
      <c r="B49" s="93" t="s">
        <v>627</v>
      </c>
      <c r="C49" s="298">
        <v>1.4838020913276759</v>
      </c>
      <c r="D49" s="239">
        <v>58080</v>
      </c>
      <c r="E49" s="293">
        <f t="shared" si="1"/>
        <v>5.9397225544520873E-5</v>
      </c>
      <c r="F49" s="91" t="s">
        <v>165</v>
      </c>
      <c r="G49" s="339" t="s">
        <v>310</v>
      </c>
    </row>
    <row r="50" spans="1:9" x14ac:dyDescent="0.25">
      <c r="A50" s="244" t="s">
        <v>217</v>
      </c>
      <c r="B50" s="93" t="s">
        <v>627</v>
      </c>
      <c r="C50" s="298">
        <v>8.063354484710743</v>
      </c>
      <c r="D50" s="239">
        <v>0</v>
      </c>
      <c r="E50" s="293">
        <f t="shared" si="1"/>
        <v>3.2277949180219937E-4</v>
      </c>
      <c r="F50" s="91" t="s">
        <v>165</v>
      </c>
      <c r="G50" s="339" t="s">
        <v>478</v>
      </c>
    </row>
    <row r="51" spans="1:9" x14ac:dyDescent="0.25">
      <c r="A51" s="244" t="s">
        <v>217</v>
      </c>
      <c r="B51" s="93" t="s">
        <v>627</v>
      </c>
      <c r="C51" s="298">
        <v>1.0064668802065071</v>
      </c>
      <c r="D51" s="239">
        <v>45000</v>
      </c>
      <c r="E51" s="293">
        <f t="shared" si="1"/>
        <v>4.0289295072515399E-5</v>
      </c>
      <c r="F51" s="91" t="s">
        <v>165</v>
      </c>
      <c r="G51" s="339" t="s">
        <v>310</v>
      </c>
    </row>
    <row r="52" spans="1:9" x14ac:dyDescent="0.25">
      <c r="A52" s="244" t="s">
        <v>213</v>
      </c>
      <c r="B52" s="93" t="s">
        <v>628</v>
      </c>
      <c r="C52" s="298">
        <v>10.908182801964539</v>
      </c>
      <c r="D52" s="239">
        <v>324786.83</v>
      </c>
      <c r="E52" s="293">
        <f t="shared" si="1"/>
        <v>4.3665917305009964E-4</v>
      </c>
      <c r="F52" s="91" t="s">
        <v>165</v>
      </c>
      <c r="G52" s="339" t="s">
        <v>618</v>
      </c>
    </row>
    <row r="53" spans="1:9" x14ac:dyDescent="0.25">
      <c r="A53" s="244" t="s">
        <v>213</v>
      </c>
      <c r="B53" s="93" t="s">
        <v>628</v>
      </c>
      <c r="C53" s="298">
        <v>43</v>
      </c>
      <c r="D53" s="239">
        <v>1698114.5800000003</v>
      </c>
      <c r="E53" s="293">
        <f t="shared" si="1"/>
        <v>1.7213081942276129E-3</v>
      </c>
      <c r="F53" s="91" t="s">
        <v>165</v>
      </c>
      <c r="G53" s="339" t="s">
        <v>478</v>
      </c>
    </row>
    <row r="54" spans="1:9" x14ac:dyDescent="0.25">
      <c r="A54" s="244" t="s">
        <v>213</v>
      </c>
      <c r="B54" s="93" t="s">
        <v>628</v>
      </c>
      <c r="C54" s="298">
        <v>21.186725825644604</v>
      </c>
      <c r="D54" s="239">
        <v>1296310.01</v>
      </c>
      <c r="E54" s="293">
        <f t="shared" si="1"/>
        <v>8.4811359936129871E-4</v>
      </c>
      <c r="F54" s="91" t="s">
        <v>165</v>
      </c>
      <c r="G54" s="339" t="s">
        <v>309</v>
      </c>
    </row>
    <row r="55" spans="1:9" x14ac:dyDescent="0.25">
      <c r="A55" s="244" t="s">
        <v>213</v>
      </c>
      <c r="B55" s="93" t="s">
        <v>628</v>
      </c>
      <c r="C55" s="298">
        <v>110.7</v>
      </c>
      <c r="D55" s="239">
        <v>4641556</v>
      </c>
      <c r="E55" s="293">
        <f t="shared" si="1"/>
        <v>4.431367839558064E-3</v>
      </c>
      <c r="F55" s="91" t="s">
        <v>165</v>
      </c>
      <c r="G55" s="339" t="s">
        <v>310</v>
      </c>
      <c r="H55" s="24"/>
      <c r="I55" s="24"/>
    </row>
    <row r="56" spans="1:9" x14ac:dyDescent="0.25">
      <c r="A56" s="244" t="s">
        <v>213</v>
      </c>
      <c r="B56" s="93" t="s">
        <v>628</v>
      </c>
      <c r="C56" s="298">
        <v>12.65</v>
      </c>
      <c r="D56" s="239">
        <v>1165395.06</v>
      </c>
      <c r="E56" s="293">
        <f t="shared" si="1"/>
        <v>5.0638485248789085E-4</v>
      </c>
      <c r="F56" s="91" t="s">
        <v>165</v>
      </c>
      <c r="G56" s="339" t="s">
        <v>311</v>
      </c>
    </row>
    <row r="57" spans="1:9" x14ac:dyDescent="0.25">
      <c r="A57" s="244" t="s">
        <v>213</v>
      </c>
      <c r="B57" s="93" t="s">
        <v>628</v>
      </c>
      <c r="C57" s="298">
        <v>109.62931859698767</v>
      </c>
      <c r="D57" s="239">
        <v>1883094</v>
      </c>
      <c r="E57" s="293">
        <f t="shared" si="1"/>
        <v>4.388508009967082E-3</v>
      </c>
      <c r="F57" s="91" t="s">
        <v>165</v>
      </c>
      <c r="G57" s="339" t="s">
        <v>611</v>
      </c>
    </row>
    <row r="58" spans="1:9" x14ac:dyDescent="0.25">
      <c r="A58" s="244" t="s">
        <v>157</v>
      </c>
      <c r="B58" s="93" t="s">
        <v>628</v>
      </c>
      <c r="C58" s="298">
        <v>105.79</v>
      </c>
      <c r="D58" s="239">
        <v>1829916.25</v>
      </c>
      <c r="E58" s="293">
        <f t="shared" si="1"/>
        <v>4.2348184620311438E-3</v>
      </c>
      <c r="F58" s="91" t="s">
        <v>165</v>
      </c>
      <c r="G58" s="339" t="s">
        <v>311</v>
      </c>
    </row>
    <row r="59" spans="1:9" x14ac:dyDescent="0.25">
      <c r="A59" s="244" t="s">
        <v>214</v>
      </c>
      <c r="B59" s="93" t="s">
        <v>628</v>
      </c>
      <c r="C59" s="298">
        <v>3.43</v>
      </c>
      <c r="D59" s="239">
        <v>348493.61</v>
      </c>
      <c r="E59" s="293">
        <f t="shared" si="1"/>
        <v>1.3730435130699333E-4</v>
      </c>
      <c r="F59" s="91" t="s">
        <v>165</v>
      </c>
      <c r="G59" s="339" t="s">
        <v>310</v>
      </c>
    </row>
    <row r="60" spans="1:9" x14ac:dyDescent="0.25">
      <c r="A60" s="244" t="s">
        <v>215</v>
      </c>
      <c r="B60" s="93" t="s">
        <v>628</v>
      </c>
      <c r="C60" s="298">
        <v>4.9346267341773942</v>
      </c>
      <c r="D60" s="239">
        <v>470470.8</v>
      </c>
      <c r="E60" s="293">
        <f t="shared" si="1"/>
        <v>1.9753519611614403E-4</v>
      </c>
      <c r="F60" s="91" t="s">
        <v>165</v>
      </c>
      <c r="G60" s="339" t="s">
        <v>310</v>
      </c>
    </row>
    <row r="61" spans="1:9" x14ac:dyDescent="0.25">
      <c r="A61" s="244" t="s">
        <v>216</v>
      </c>
      <c r="B61" s="93" t="s">
        <v>628</v>
      </c>
      <c r="C61" s="298">
        <v>4.2360165283548685</v>
      </c>
      <c r="D61" s="239">
        <v>145170.48000000001</v>
      </c>
      <c r="E61" s="293">
        <f t="shared" si="1"/>
        <v>1.6956953398001955E-4</v>
      </c>
      <c r="F61" s="91" t="s">
        <v>165</v>
      </c>
      <c r="G61" s="339" t="s">
        <v>618</v>
      </c>
    </row>
    <row r="62" spans="1:9" x14ac:dyDescent="0.25">
      <c r="A62" s="244" t="s">
        <v>216</v>
      </c>
      <c r="B62" s="93" t="s">
        <v>628</v>
      </c>
      <c r="C62" s="298">
        <v>4.0999999999999996</v>
      </c>
      <c r="D62" s="239">
        <v>534330</v>
      </c>
      <c r="E62" s="293">
        <f t="shared" si="1"/>
        <v>1.6412473479844681E-4</v>
      </c>
      <c r="F62" s="91" t="s">
        <v>165</v>
      </c>
      <c r="G62" s="339" t="s">
        <v>309</v>
      </c>
    </row>
    <row r="63" spans="1:9" x14ac:dyDescent="0.25">
      <c r="A63" s="244" t="s">
        <v>216</v>
      </c>
      <c r="B63" s="93" t="s">
        <v>628</v>
      </c>
      <c r="C63" s="298">
        <v>0.50297785206043333</v>
      </c>
      <c r="D63" s="239">
        <v>161026.37</v>
      </c>
      <c r="E63" s="293">
        <f t="shared" si="1"/>
        <v>2.013441623875879E-5</v>
      </c>
      <c r="F63" s="91" t="s">
        <v>165</v>
      </c>
      <c r="G63" s="339" t="s">
        <v>310</v>
      </c>
    </row>
    <row r="64" spans="1:9" x14ac:dyDescent="0.25">
      <c r="A64" s="244" t="s">
        <v>216</v>
      </c>
      <c r="B64" s="93" t="s">
        <v>628</v>
      </c>
      <c r="C64" s="298">
        <v>0.95658803866082376</v>
      </c>
      <c r="D64" s="239">
        <v>377100</v>
      </c>
      <c r="E64" s="293">
        <f t="shared" si="1"/>
        <v>3.8292623940627828E-5</v>
      </c>
      <c r="F64" s="91" t="s">
        <v>165</v>
      </c>
      <c r="G64" s="339" t="s">
        <v>311</v>
      </c>
    </row>
    <row r="65" spans="1:7" x14ac:dyDescent="0.25">
      <c r="A65" s="244" t="s">
        <v>261</v>
      </c>
      <c r="B65" s="93" t="s">
        <v>627</v>
      </c>
      <c r="C65" s="298">
        <v>8.3886792452830178E-2</v>
      </c>
      <c r="D65" s="239">
        <v>0</v>
      </c>
      <c r="E65" s="293">
        <f t="shared" si="1"/>
        <v>3.3580237961983177E-6</v>
      </c>
      <c r="F65" s="91" t="s">
        <v>165</v>
      </c>
      <c r="G65" s="339" t="s">
        <v>310</v>
      </c>
    </row>
    <row r="66" spans="1:7" x14ac:dyDescent="0.25">
      <c r="A66" s="244" t="s">
        <v>158</v>
      </c>
      <c r="B66" s="93" t="s">
        <v>628</v>
      </c>
      <c r="C66" s="298">
        <v>7.0622818596037451</v>
      </c>
      <c r="D66" s="239">
        <v>382075.26</v>
      </c>
      <c r="E66" s="293">
        <f t="shared" si="1"/>
        <v>2.8270613104374305E-4</v>
      </c>
      <c r="F66" s="91" t="s">
        <v>165</v>
      </c>
      <c r="G66" s="339" t="s">
        <v>479</v>
      </c>
    </row>
    <row r="67" spans="1:7" x14ac:dyDescent="0.25">
      <c r="A67" s="244" t="s">
        <v>158</v>
      </c>
      <c r="B67" s="93" t="s">
        <v>628</v>
      </c>
      <c r="C67" s="298">
        <v>16.239999999999998</v>
      </c>
      <c r="D67" s="239">
        <v>1351013</v>
      </c>
      <c r="E67" s="293">
        <f t="shared" si="1"/>
        <v>6.5009407149433567E-4</v>
      </c>
      <c r="F67" s="91" t="s">
        <v>165</v>
      </c>
      <c r="G67" s="339" t="s">
        <v>478</v>
      </c>
    </row>
    <row r="68" spans="1:7" x14ac:dyDescent="0.25">
      <c r="A68" s="244" t="s">
        <v>158</v>
      </c>
      <c r="B68" s="93" t="s">
        <v>628</v>
      </c>
      <c r="C68" s="298">
        <v>34.549999999999997</v>
      </c>
      <c r="D68" s="239">
        <v>1971357</v>
      </c>
      <c r="E68" s="293">
        <f t="shared" si="1"/>
        <v>1.3830511188503262E-3</v>
      </c>
      <c r="F68" s="91" t="s">
        <v>165</v>
      </c>
      <c r="G68" s="339" t="s">
        <v>309</v>
      </c>
    </row>
    <row r="69" spans="1:7" x14ac:dyDescent="0.25">
      <c r="A69" s="244" t="s">
        <v>158</v>
      </c>
      <c r="B69" s="93" t="s">
        <v>628</v>
      </c>
      <c r="C69" s="298">
        <v>34.909999999999997</v>
      </c>
      <c r="D69" s="239">
        <v>1576064</v>
      </c>
      <c r="E69" s="293">
        <f t="shared" si="1"/>
        <v>1.3974620711740922E-3</v>
      </c>
      <c r="F69" s="91" t="s">
        <v>165</v>
      </c>
      <c r="G69" s="339" t="s">
        <v>310</v>
      </c>
    </row>
    <row r="70" spans="1:7" x14ac:dyDescent="0.25">
      <c r="A70" s="244" t="s">
        <v>158</v>
      </c>
      <c r="B70" s="93" t="s">
        <v>628</v>
      </c>
      <c r="C70" s="298">
        <v>22.26</v>
      </c>
      <c r="D70" s="239">
        <v>2621515.23</v>
      </c>
      <c r="E70" s="293">
        <f t="shared" si="1"/>
        <v>8.9107721868620163E-4</v>
      </c>
      <c r="F70" s="91" t="s">
        <v>165</v>
      </c>
      <c r="G70" s="339" t="s">
        <v>311</v>
      </c>
    </row>
    <row r="71" spans="1:7" x14ac:dyDescent="0.25">
      <c r="A71" s="244" t="s">
        <v>158</v>
      </c>
      <c r="B71" s="93" t="s">
        <v>628</v>
      </c>
      <c r="C71" s="298">
        <v>4.9548691723386424</v>
      </c>
      <c r="D71" s="239">
        <v>1354088.1225000001</v>
      </c>
      <c r="E71" s="293">
        <f t="shared" si="1"/>
        <v>1.9834550948075107E-4</v>
      </c>
      <c r="F71" s="91" t="s">
        <v>165</v>
      </c>
      <c r="G71" s="339" t="s">
        <v>611</v>
      </c>
    </row>
    <row r="72" spans="1:7" x14ac:dyDescent="0.25">
      <c r="A72" s="244" t="s">
        <v>164</v>
      </c>
      <c r="B72" s="93" t="s">
        <v>628</v>
      </c>
      <c r="C72" s="298">
        <v>16.925311156675374</v>
      </c>
      <c r="D72" s="239">
        <v>1366581.25</v>
      </c>
      <c r="E72" s="293">
        <f t="shared" si="1"/>
        <v>6.7752736706598506E-4</v>
      </c>
      <c r="F72" s="91" t="s">
        <v>165</v>
      </c>
      <c r="G72" s="339" t="s">
        <v>310</v>
      </c>
    </row>
    <row r="73" spans="1:7" x14ac:dyDescent="0.25">
      <c r="A73" s="244" t="s">
        <v>164</v>
      </c>
      <c r="B73" s="93" t="s">
        <v>628</v>
      </c>
      <c r="C73" s="298">
        <v>10.157446002967454</v>
      </c>
      <c r="D73" s="239">
        <v>709606.06466666667</v>
      </c>
      <c r="E73" s="293">
        <f t="shared" si="1"/>
        <v>4.0660686133331148E-4</v>
      </c>
      <c r="F73" s="91" t="s">
        <v>165</v>
      </c>
      <c r="G73" s="339" t="s">
        <v>311</v>
      </c>
    </row>
    <row r="74" spans="1:7" x14ac:dyDescent="0.25">
      <c r="A74" s="244" t="s">
        <v>161</v>
      </c>
      <c r="B74" s="93" t="s">
        <v>628</v>
      </c>
      <c r="C74" s="298">
        <v>1.23</v>
      </c>
      <c r="D74" s="239">
        <v>0</v>
      </c>
      <c r="E74" s="293">
        <f t="shared" ref="E74" si="2">C74/$B$6</f>
        <v>4.9237420439534048E-5</v>
      </c>
      <c r="F74" s="91" t="s">
        <v>165</v>
      </c>
      <c r="G74" s="339" t="s">
        <v>478</v>
      </c>
    </row>
    <row r="75" spans="1:7" x14ac:dyDescent="0.25">
      <c r="A75" s="244" t="s">
        <v>161</v>
      </c>
      <c r="B75" s="93" t="s">
        <v>628</v>
      </c>
      <c r="C75" s="298">
        <v>15.27</v>
      </c>
      <c r="D75" s="239">
        <v>164010</v>
      </c>
      <c r="E75" s="293">
        <f t="shared" si="1"/>
        <v>6.1126456106641049E-4</v>
      </c>
      <c r="F75" s="91" t="s">
        <v>165</v>
      </c>
      <c r="G75" s="339" t="s">
        <v>311</v>
      </c>
    </row>
    <row r="76" spans="1:7" x14ac:dyDescent="0.25">
      <c r="A76" s="244" t="s">
        <v>160</v>
      </c>
      <c r="B76" s="93" t="s">
        <v>628</v>
      </c>
      <c r="C76" s="298">
        <v>9.2119999999999997</v>
      </c>
      <c r="D76" s="239">
        <v>396395.83799999999</v>
      </c>
      <c r="E76" s="293">
        <f t="shared" si="1"/>
        <v>3.6876025779592489E-4</v>
      </c>
      <c r="F76" s="91" t="s">
        <v>165</v>
      </c>
      <c r="G76" s="339" t="s">
        <v>311</v>
      </c>
    </row>
    <row r="77" spans="1:7" x14ac:dyDescent="0.25">
      <c r="A77" s="244" t="s">
        <v>162</v>
      </c>
      <c r="B77" s="93" t="s">
        <v>628</v>
      </c>
      <c r="C77" s="298">
        <v>12.592712550607292</v>
      </c>
      <c r="D77" s="239">
        <v>316902.06</v>
      </c>
      <c r="E77" s="293">
        <f t="shared" si="1"/>
        <v>5.0409161164914498E-4</v>
      </c>
      <c r="F77" s="91" t="s">
        <v>165</v>
      </c>
      <c r="G77" s="339" t="s">
        <v>311</v>
      </c>
    </row>
    <row r="78" spans="1:7" x14ac:dyDescent="0.25">
      <c r="A78" s="244" t="s">
        <v>300</v>
      </c>
      <c r="B78" s="93" t="s">
        <v>307</v>
      </c>
      <c r="C78" s="298">
        <v>94.9</v>
      </c>
      <c r="D78" s="239">
        <v>2058727</v>
      </c>
      <c r="E78" s="293">
        <f t="shared" si="1"/>
        <v>3.7988871542372206E-3</v>
      </c>
      <c r="F78" s="91" t="s">
        <v>165</v>
      </c>
      <c r="G78" s="339" t="s">
        <v>478</v>
      </c>
    </row>
    <row r="79" spans="1:7" x14ac:dyDescent="0.25">
      <c r="A79" s="244" t="s">
        <v>300</v>
      </c>
      <c r="B79" s="93" t="s">
        <v>307</v>
      </c>
      <c r="C79" s="298">
        <v>64.64</v>
      </c>
      <c r="D79" s="239">
        <v>2578722</v>
      </c>
      <c r="E79" s="293">
        <f t="shared" si="1"/>
        <v>2.5875665505784395E-3</v>
      </c>
      <c r="F79" s="91" t="s">
        <v>165</v>
      </c>
      <c r="G79" s="339" t="s">
        <v>309</v>
      </c>
    </row>
    <row r="80" spans="1:7" x14ac:dyDescent="0.25">
      <c r="A80" s="244" t="s">
        <v>300</v>
      </c>
      <c r="B80" s="93" t="s">
        <v>307</v>
      </c>
      <c r="C80" s="298">
        <v>78.345674790477858</v>
      </c>
      <c r="D80" s="239">
        <v>1766741.27</v>
      </c>
      <c r="E80" s="293">
        <f t="shared" si="1"/>
        <v>3.1362105116079365E-3</v>
      </c>
      <c r="F80" s="91" t="s">
        <v>165</v>
      </c>
      <c r="G80" s="339" t="s">
        <v>310</v>
      </c>
    </row>
    <row r="81" spans="1:7" x14ac:dyDescent="0.25">
      <c r="A81" s="244" t="s">
        <v>300</v>
      </c>
      <c r="B81" s="93" t="s">
        <v>307</v>
      </c>
      <c r="C81" s="298">
        <v>9.210209152278539</v>
      </c>
      <c r="D81" s="239">
        <v>0</v>
      </c>
      <c r="E81" s="293">
        <f t="shared" si="1"/>
        <v>3.6868856940388851E-4</v>
      </c>
      <c r="F81" s="91" t="s">
        <v>165</v>
      </c>
      <c r="G81" s="339" t="s">
        <v>311</v>
      </c>
    </row>
    <row r="82" spans="1:7" x14ac:dyDescent="0.25">
      <c r="A82" s="244" t="s">
        <v>213</v>
      </c>
      <c r="B82" s="93" t="s">
        <v>628</v>
      </c>
      <c r="C82" s="296">
        <v>92.34</v>
      </c>
      <c r="D82" s="249">
        <v>1128713</v>
      </c>
      <c r="E82" s="293">
        <f t="shared" si="1"/>
        <v>3.696409271045995E-3</v>
      </c>
      <c r="F82" s="91" t="s">
        <v>165</v>
      </c>
      <c r="G82" s="339" t="s">
        <v>611</v>
      </c>
    </row>
    <row r="83" spans="1:7" x14ac:dyDescent="0.25">
      <c r="A83" s="244" t="s">
        <v>158</v>
      </c>
      <c r="B83" s="93" t="s">
        <v>628</v>
      </c>
      <c r="C83" s="296">
        <v>4.9548691723386424</v>
      </c>
      <c r="D83" s="249">
        <v>1354088.1225000001</v>
      </c>
      <c r="E83" s="293">
        <f t="shared" si="1"/>
        <v>1.9834550948075107E-4</v>
      </c>
      <c r="F83" s="91" t="s">
        <v>165</v>
      </c>
      <c r="G83" s="339" t="s">
        <v>611</v>
      </c>
    </row>
    <row r="84" spans="1:7" x14ac:dyDescent="0.25">
      <c r="A84" s="244" t="s">
        <v>157</v>
      </c>
      <c r="B84" s="93" t="s">
        <v>628</v>
      </c>
      <c r="C84" s="296">
        <v>33.48106327755692</v>
      </c>
      <c r="D84" s="249">
        <v>2215516.2732380959</v>
      </c>
      <c r="E84" s="293">
        <f t="shared" si="1"/>
        <v>1.3402611295607429E-3</v>
      </c>
      <c r="F84" s="91" t="s">
        <v>304</v>
      </c>
      <c r="G84" s="124" t="s">
        <v>611</v>
      </c>
    </row>
    <row r="85" spans="1:7" x14ac:dyDescent="0.25">
      <c r="A85" s="244" t="s">
        <v>213</v>
      </c>
      <c r="B85" s="93" t="s">
        <v>628</v>
      </c>
      <c r="C85" s="296">
        <v>18.91998650366963</v>
      </c>
      <c r="D85" s="249">
        <v>2207135.6476190477</v>
      </c>
      <c r="E85" s="293">
        <f t="shared" si="1"/>
        <v>7.5737506519633446E-4</v>
      </c>
      <c r="F85" s="91" t="s">
        <v>304</v>
      </c>
      <c r="G85" s="124" t="s">
        <v>611</v>
      </c>
    </row>
    <row r="86" spans="1:7" x14ac:dyDescent="0.25">
      <c r="A86" s="244" t="s">
        <v>158</v>
      </c>
      <c r="B86" s="93" t="s">
        <v>628</v>
      </c>
      <c r="C86" s="296">
        <v>15.887830766491241</v>
      </c>
      <c r="D86" s="249">
        <v>100000</v>
      </c>
      <c r="E86" s="293">
        <f t="shared" si="1"/>
        <v>6.3599658806658024E-4</v>
      </c>
      <c r="F86" s="91" t="s">
        <v>304</v>
      </c>
      <c r="G86" s="124" t="s">
        <v>611</v>
      </c>
    </row>
    <row r="87" spans="1:7" x14ac:dyDescent="0.25">
      <c r="A87" s="323" t="s">
        <v>164</v>
      </c>
      <c r="B87" s="93" t="s">
        <v>628</v>
      </c>
      <c r="C87" s="296">
        <v>27.307271293032127</v>
      </c>
      <c r="D87" s="249">
        <v>1105250</v>
      </c>
      <c r="E87" s="293">
        <f t="shared" si="1"/>
        <v>1.0931216241556433E-3</v>
      </c>
      <c r="F87" s="91" t="s">
        <v>304</v>
      </c>
      <c r="G87" s="124" t="s">
        <v>611</v>
      </c>
    </row>
    <row r="88" spans="1:7" x14ac:dyDescent="0.25">
      <c r="A88" s="244" t="s">
        <v>160</v>
      </c>
      <c r="B88" s="93" t="s">
        <v>628</v>
      </c>
      <c r="C88" s="296">
        <v>18.631310564132438</v>
      </c>
      <c r="D88" s="249">
        <v>1621536.74</v>
      </c>
      <c r="E88" s="293">
        <f t="shared" si="1"/>
        <v>7.4581924519164313E-4</v>
      </c>
      <c r="F88" s="91" t="s">
        <v>304</v>
      </c>
      <c r="G88" s="124" t="s">
        <v>611</v>
      </c>
    </row>
    <row r="89" spans="1:7" x14ac:dyDescent="0.25">
      <c r="A89" s="244" t="s">
        <v>300</v>
      </c>
      <c r="B89" s="93" t="s">
        <v>307</v>
      </c>
      <c r="C89" s="296">
        <v>210.96850495142047</v>
      </c>
      <c r="D89" s="249">
        <v>7498244.0306018516</v>
      </c>
      <c r="E89" s="293">
        <f t="shared" si="1"/>
        <v>8.4451585185309017E-3</v>
      </c>
      <c r="F89" s="91" t="s">
        <v>304</v>
      </c>
      <c r="G89" s="124" t="s">
        <v>611</v>
      </c>
    </row>
    <row r="90" spans="1:7" x14ac:dyDescent="0.25">
      <c r="A90" s="244" t="s">
        <v>216</v>
      </c>
      <c r="B90" s="93" t="s">
        <v>628</v>
      </c>
      <c r="C90" s="296">
        <v>11.185316163579323</v>
      </c>
      <c r="D90" s="249">
        <v>2306969.3000000003</v>
      </c>
      <c r="E90" s="293">
        <f t="shared" si="1"/>
        <v>4.4775293877664317E-4</v>
      </c>
      <c r="F90" s="91" t="s">
        <v>380</v>
      </c>
      <c r="G90" s="339" t="s">
        <v>612</v>
      </c>
    </row>
    <row r="91" spans="1:7" x14ac:dyDescent="0.25">
      <c r="A91" s="244" t="s">
        <v>255</v>
      </c>
      <c r="B91" s="93" t="s">
        <v>628</v>
      </c>
      <c r="C91" s="296">
        <v>3.0554307025986529</v>
      </c>
      <c r="D91" s="249">
        <v>206031.16</v>
      </c>
      <c r="E91" s="293">
        <v>2.2481413048622756E-3</v>
      </c>
      <c r="F91" s="91" t="s">
        <v>380</v>
      </c>
      <c r="G91" s="339" t="s">
        <v>611</v>
      </c>
    </row>
    <row r="92" spans="1:7" x14ac:dyDescent="0.25">
      <c r="A92" s="244" t="s">
        <v>255</v>
      </c>
      <c r="B92" s="93" t="s">
        <v>628</v>
      </c>
      <c r="C92" s="296">
        <v>53.105387234165846</v>
      </c>
      <c r="D92" s="249">
        <v>1367543.28</v>
      </c>
      <c r="E92" s="293">
        <f t="shared" si="1"/>
        <v>2.1258311210186078E-3</v>
      </c>
      <c r="F92" s="91" t="s">
        <v>380</v>
      </c>
      <c r="G92" s="339" t="s">
        <v>613</v>
      </c>
    </row>
    <row r="93" spans="1:7" x14ac:dyDescent="0.25">
      <c r="A93" s="244" t="s">
        <v>163</v>
      </c>
      <c r="B93" s="93" t="s">
        <v>628</v>
      </c>
      <c r="C93" s="296">
        <v>13.323279262393033</v>
      </c>
      <c r="D93" s="249">
        <v>1223158.6200000001</v>
      </c>
      <c r="E93" s="293">
        <f t="shared" si="1"/>
        <v>5.3333650624046408E-4</v>
      </c>
      <c r="F93" s="91" t="s">
        <v>380</v>
      </c>
      <c r="G93" s="339" t="s">
        <v>612</v>
      </c>
    </row>
    <row r="94" spans="1:7" x14ac:dyDescent="0.25">
      <c r="A94" s="244" t="s">
        <v>256</v>
      </c>
      <c r="B94" s="93" t="s">
        <v>628</v>
      </c>
      <c r="C94" s="296">
        <v>6.1444754484508053</v>
      </c>
      <c r="D94" s="249">
        <v>1359500.22</v>
      </c>
      <c r="E94" s="293">
        <f t="shared" si="1"/>
        <v>2.4596595206159905E-4</v>
      </c>
      <c r="F94" s="91" t="s">
        <v>380</v>
      </c>
      <c r="G94" s="339" t="s">
        <v>613</v>
      </c>
    </row>
    <row r="95" spans="1:7" x14ac:dyDescent="0.25">
      <c r="A95" s="244" t="s">
        <v>305</v>
      </c>
      <c r="B95" s="93" t="s">
        <v>627</v>
      </c>
      <c r="C95" s="296">
        <v>10.675142810510854</v>
      </c>
      <c r="D95" s="249">
        <v>1114289.92</v>
      </c>
      <c r="E95" s="293">
        <f t="shared" si="1"/>
        <v>4.2733048358796103E-4</v>
      </c>
      <c r="F95" s="91" t="s">
        <v>380</v>
      </c>
      <c r="G95" s="339" t="s">
        <v>612</v>
      </c>
    </row>
    <row r="96" spans="1:7" x14ac:dyDescent="0.25">
      <c r="A96" s="244" t="s">
        <v>217</v>
      </c>
      <c r="B96" s="93" t="s">
        <v>627</v>
      </c>
      <c r="C96" s="296">
        <v>1.2179827089337179</v>
      </c>
      <c r="D96" s="249">
        <v>355549</v>
      </c>
      <c r="E96" s="293">
        <f t="shared" si="1"/>
        <v>4.8756363193375682E-5</v>
      </c>
      <c r="F96" s="91" t="s">
        <v>380</v>
      </c>
      <c r="G96" s="339" t="s">
        <v>612</v>
      </c>
    </row>
    <row r="97" spans="1:9" x14ac:dyDescent="0.25">
      <c r="A97" s="244" t="s">
        <v>215</v>
      </c>
      <c r="B97" s="93" t="s">
        <v>628</v>
      </c>
      <c r="C97" s="296">
        <v>6.4086659718603451</v>
      </c>
      <c r="D97" s="249">
        <v>375599.917849502</v>
      </c>
      <c r="E97" s="293">
        <f t="shared" si="1"/>
        <v>2.5654161049839256E-4</v>
      </c>
      <c r="F97" s="91" t="s">
        <v>380</v>
      </c>
      <c r="G97" s="339" t="s">
        <v>614</v>
      </c>
    </row>
    <row r="98" spans="1:9" x14ac:dyDescent="0.25">
      <c r="A98" s="244" t="s">
        <v>157</v>
      </c>
      <c r="B98" s="93" t="s">
        <v>628</v>
      </c>
      <c r="C98" s="296">
        <v>2.8559999999999999</v>
      </c>
      <c r="D98" s="249">
        <v>641447.92000000004</v>
      </c>
      <c r="E98" s="293">
        <v>1.8277948440296292E-3</v>
      </c>
      <c r="F98" s="91" t="s">
        <v>380</v>
      </c>
      <c r="G98" s="339" t="s">
        <v>611</v>
      </c>
    </row>
    <row r="99" spans="1:9" x14ac:dyDescent="0.25">
      <c r="A99" s="244" t="s">
        <v>157</v>
      </c>
      <c r="B99" s="93" t="s">
        <v>628</v>
      </c>
      <c r="C99" s="296">
        <v>42.804142998704165</v>
      </c>
      <c r="D99" s="249">
        <v>2079188.8810816545</v>
      </c>
      <c r="E99" s="293">
        <f t="shared" si="1"/>
        <v>1.7134679555944185E-3</v>
      </c>
      <c r="F99" s="91" t="s">
        <v>380</v>
      </c>
      <c r="G99" s="339" t="s">
        <v>612</v>
      </c>
    </row>
    <row r="100" spans="1:9" x14ac:dyDescent="0.25">
      <c r="A100" s="244" t="s">
        <v>213</v>
      </c>
      <c r="B100" s="93" t="s">
        <v>628</v>
      </c>
      <c r="C100" s="296">
        <v>66.310998282114909</v>
      </c>
      <c r="D100" s="249">
        <v>1211684.29</v>
      </c>
      <c r="E100" s="293">
        <f t="shared" si="1"/>
        <v>2.65445731884692E-3</v>
      </c>
      <c r="F100" s="91" t="s">
        <v>380</v>
      </c>
      <c r="G100" s="339" t="s">
        <v>612</v>
      </c>
    </row>
    <row r="101" spans="1:9" x14ac:dyDescent="0.25">
      <c r="A101" s="244" t="s">
        <v>158</v>
      </c>
      <c r="B101" s="93" t="s">
        <v>628</v>
      </c>
      <c r="C101" s="296">
        <v>15.793845598014514</v>
      </c>
      <c r="D101" s="249">
        <v>2412339.4249999998</v>
      </c>
      <c r="E101" s="293">
        <v>6.6169751952398709E-3</v>
      </c>
      <c r="F101" s="91" t="s">
        <v>380</v>
      </c>
      <c r="G101" s="339" t="s">
        <v>611</v>
      </c>
    </row>
    <row r="102" spans="1:9" x14ac:dyDescent="0.25">
      <c r="A102" s="244" t="s">
        <v>158</v>
      </c>
      <c r="B102" s="93" t="s">
        <v>628</v>
      </c>
      <c r="C102" s="296">
        <v>96.105615397737466</v>
      </c>
      <c r="D102" s="249">
        <v>8096197.95465199</v>
      </c>
      <c r="E102" s="293">
        <f t="shared" si="1"/>
        <v>3.847148448730534E-3</v>
      </c>
      <c r="F102" s="91" t="s">
        <v>380</v>
      </c>
      <c r="G102" s="339" t="s">
        <v>612</v>
      </c>
    </row>
    <row r="103" spans="1:9" x14ac:dyDescent="0.25">
      <c r="A103" s="244" t="s">
        <v>158</v>
      </c>
      <c r="B103" s="93" t="s">
        <v>628</v>
      </c>
      <c r="C103" s="296">
        <v>18.315375148897534</v>
      </c>
      <c r="D103" s="249">
        <v>2901614.5</v>
      </c>
      <c r="E103" s="293">
        <v>6.6169751952398709E-3</v>
      </c>
      <c r="F103" s="91" t="s">
        <v>380</v>
      </c>
      <c r="G103" s="339" t="s">
        <v>613</v>
      </c>
    </row>
    <row r="104" spans="1:9" x14ac:dyDescent="0.25">
      <c r="A104" s="244" t="s">
        <v>158</v>
      </c>
      <c r="B104" s="93" t="s">
        <v>628</v>
      </c>
      <c r="C104" s="296">
        <v>26.259543197345621</v>
      </c>
      <c r="D104" s="249">
        <v>5138192.1037838068</v>
      </c>
      <c r="E104" s="293">
        <v>6.6169751952398709E-3</v>
      </c>
      <c r="F104" s="91" t="s">
        <v>380</v>
      </c>
      <c r="G104" s="339" t="s">
        <v>614</v>
      </c>
    </row>
    <row r="105" spans="1:9" x14ac:dyDescent="0.25">
      <c r="A105" s="244" t="s">
        <v>158</v>
      </c>
      <c r="B105" s="93" t="s">
        <v>628</v>
      </c>
      <c r="C105" s="296">
        <v>2.5019305019305018</v>
      </c>
      <c r="D105" s="249">
        <v>176047.39</v>
      </c>
      <c r="E105" s="293">
        <v>6.6169751952398709E-3</v>
      </c>
      <c r="F105" s="91" t="s">
        <v>380</v>
      </c>
      <c r="G105" s="339" t="s">
        <v>615</v>
      </c>
    </row>
    <row r="106" spans="1:9" x14ac:dyDescent="0.25">
      <c r="A106" s="244" t="s">
        <v>164</v>
      </c>
      <c r="B106" s="93" t="s">
        <v>628</v>
      </c>
      <c r="C106" s="296">
        <v>4.1346534811409672</v>
      </c>
      <c r="D106" s="249">
        <v>609319.60253784142</v>
      </c>
      <c r="E106" s="293">
        <f t="shared" ref="E106:E115" si="3">C106/$B$6</f>
        <v>1.6551192831115515E-4</v>
      </c>
      <c r="F106" s="91" t="s">
        <v>380</v>
      </c>
      <c r="G106" s="339" t="s">
        <v>612</v>
      </c>
      <c r="I106" s="333"/>
    </row>
    <row r="107" spans="1:9" x14ac:dyDescent="0.25">
      <c r="A107" s="244" t="s">
        <v>160</v>
      </c>
      <c r="B107" s="93" t="s">
        <v>628</v>
      </c>
      <c r="C107" s="296">
        <v>14.993134787946202</v>
      </c>
      <c r="D107" s="249">
        <v>507930.06</v>
      </c>
      <c r="E107" s="293">
        <f t="shared" si="3"/>
        <v>6.0018152948025302E-4</v>
      </c>
      <c r="F107" s="91" t="s">
        <v>380</v>
      </c>
      <c r="G107" s="339" t="s">
        <v>613</v>
      </c>
    </row>
    <row r="108" spans="1:9" x14ac:dyDescent="0.25">
      <c r="A108" s="244" t="s">
        <v>162</v>
      </c>
      <c r="B108" s="93" t="s">
        <v>628</v>
      </c>
      <c r="C108" s="296">
        <v>13.479351347411418</v>
      </c>
      <c r="D108" s="249">
        <v>987330.75</v>
      </c>
      <c r="E108" s="293">
        <f t="shared" si="3"/>
        <v>5.3958413784121605E-4</v>
      </c>
      <c r="F108" s="91" t="s">
        <v>380</v>
      </c>
      <c r="G108" s="339" t="s">
        <v>611</v>
      </c>
    </row>
    <row r="109" spans="1:9" x14ac:dyDescent="0.25">
      <c r="A109" s="244" t="s">
        <v>300</v>
      </c>
      <c r="B109" s="93" t="s">
        <v>307</v>
      </c>
      <c r="C109" s="296">
        <v>2</v>
      </c>
      <c r="D109" s="249">
        <v>2479485.23</v>
      </c>
      <c r="E109" s="293">
        <f t="shared" si="3"/>
        <v>8.0060846243144789E-5</v>
      </c>
      <c r="F109" s="91" t="s">
        <v>380</v>
      </c>
      <c r="G109" s="339" t="s">
        <v>611</v>
      </c>
    </row>
    <row r="110" spans="1:9" x14ac:dyDescent="0.25">
      <c r="A110" s="244" t="s">
        <v>300</v>
      </c>
      <c r="B110" s="93" t="s">
        <v>307</v>
      </c>
      <c r="C110" s="296">
        <v>112.14657108070385</v>
      </c>
      <c r="D110" s="249">
        <v>6228618.0899999999</v>
      </c>
      <c r="E110" s="293">
        <f t="shared" si="3"/>
        <v>4.4892746919940694E-3</v>
      </c>
      <c r="F110" s="91" t="s">
        <v>380</v>
      </c>
      <c r="G110" s="339" t="s">
        <v>612</v>
      </c>
    </row>
    <row r="111" spans="1:9" x14ac:dyDescent="0.25">
      <c r="A111" s="244" t="s">
        <v>300</v>
      </c>
      <c r="B111" s="93" t="s">
        <v>307</v>
      </c>
      <c r="C111" s="296">
        <v>268.82506712161847</v>
      </c>
      <c r="D111" s="249">
        <v>9035346.6383164953</v>
      </c>
      <c r="E111" s="293">
        <f t="shared" si="3"/>
        <v>1.0761181182563487E-2</v>
      </c>
      <c r="F111" s="91" t="s">
        <v>380</v>
      </c>
      <c r="G111" s="339" t="s">
        <v>613</v>
      </c>
    </row>
    <row r="112" spans="1:9" x14ac:dyDescent="0.25">
      <c r="A112" s="244" t="s">
        <v>300</v>
      </c>
      <c r="B112" s="93" t="s">
        <v>307</v>
      </c>
      <c r="C112" s="296">
        <v>412.31672471104343</v>
      </c>
      <c r="D112" s="249">
        <v>14232036.176216193</v>
      </c>
      <c r="E112" s="293">
        <f t="shared" si="3"/>
        <v>1.6505212950283954E-2</v>
      </c>
      <c r="F112" s="91" t="s">
        <v>380</v>
      </c>
      <c r="G112" s="339" t="s">
        <v>614</v>
      </c>
    </row>
    <row r="113" spans="1:8" x14ac:dyDescent="0.25">
      <c r="A113" s="244" t="s">
        <v>300</v>
      </c>
      <c r="B113" s="93" t="s">
        <v>307</v>
      </c>
      <c r="C113" s="296">
        <v>731.61127351854259</v>
      </c>
      <c r="D113" s="249">
        <v>19744773.330000002</v>
      </c>
      <c r="E113" s="293">
        <f t="shared" si="3"/>
        <v>2.9286708839459694E-2</v>
      </c>
      <c r="F113" s="91" t="s">
        <v>380</v>
      </c>
      <c r="G113" s="339" t="s">
        <v>615</v>
      </c>
    </row>
    <row r="114" spans="1:8" x14ac:dyDescent="0.25">
      <c r="A114" s="244"/>
      <c r="B114" s="93"/>
      <c r="C114" s="296"/>
      <c r="D114" s="249"/>
      <c r="E114" s="293"/>
      <c r="F114" s="91"/>
      <c r="G114" s="339"/>
    </row>
    <row r="115" spans="1:8" x14ac:dyDescent="0.25">
      <c r="A115" s="244" t="s">
        <v>300</v>
      </c>
      <c r="B115" s="93" t="s">
        <v>307</v>
      </c>
      <c r="C115" s="296">
        <v>289.8</v>
      </c>
      <c r="D115" s="249">
        <v>13518418.970000001</v>
      </c>
      <c r="E115" s="293">
        <f t="shared" si="3"/>
        <v>1.1600816620631681E-2</v>
      </c>
      <c r="F115" s="91" t="s">
        <v>616</v>
      </c>
      <c r="G115" s="339" t="s">
        <v>615</v>
      </c>
      <c r="H115" s="148"/>
    </row>
    <row r="116" spans="1:8" x14ac:dyDescent="0.25">
      <c r="A116" s="125"/>
      <c r="B116" s="117"/>
      <c r="C116" s="322"/>
      <c r="D116" s="115"/>
      <c r="E116" s="294">
        <f t="shared" ref="E116:E118" si="4">C116/$B$6</f>
        <v>0</v>
      </c>
      <c r="F116" s="116"/>
      <c r="G116" s="126"/>
    </row>
    <row r="117" spans="1:8" x14ac:dyDescent="0.25">
      <c r="A117" s="125"/>
      <c r="B117" s="117"/>
      <c r="C117" s="322"/>
      <c r="D117" s="115"/>
      <c r="E117" s="294">
        <f t="shared" si="4"/>
        <v>0</v>
      </c>
      <c r="F117" s="116"/>
      <c r="G117" s="126"/>
      <c r="H117" s="148"/>
    </row>
    <row r="118" spans="1:8" x14ac:dyDescent="0.25">
      <c r="A118" s="125"/>
      <c r="B118" s="117"/>
      <c r="C118" s="322"/>
      <c r="D118" s="115"/>
      <c r="E118" s="294">
        <f t="shared" si="4"/>
        <v>0</v>
      </c>
      <c r="F118" s="116"/>
      <c r="G118" s="126"/>
    </row>
    <row r="119" spans="1:8" ht="15.75" thickBot="1" x14ac:dyDescent="0.3">
      <c r="A119" s="125"/>
      <c r="B119" s="117"/>
      <c r="C119" s="322"/>
      <c r="D119" s="115"/>
      <c r="E119" s="294">
        <f>C119/$B$6</f>
        <v>0</v>
      </c>
      <c r="F119" s="116"/>
      <c r="G119" s="126"/>
      <c r="H119" s="148"/>
    </row>
    <row r="120" spans="1:8" ht="30" customHeight="1" x14ac:dyDescent="0.25">
      <c r="A120" s="216" t="s">
        <v>104</v>
      </c>
      <c r="B120" s="217"/>
      <c r="C120" s="330">
        <f>SUMIF(G40:G119,"FY19",C40:C119)+SUMIF(G40:G119,"FY20",C40:C119)</f>
        <v>932.16335413181059</v>
      </c>
      <c r="D120" s="219">
        <f>SUMIF(G40:G119,"FY19",D40:D119)+SUMIF(G40:G119,"FY20",D40:D119)</f>
        <v>50419276.079730481</v>
      </c>
      <c r="E120" s="225">
        <f>SUMIF(G40:G119,"FY19",E40:E119)+SUMIF(G40:G119,"FY20",E40:E119)</f>
        <v>4.7138933434168098E-2</v>
      </c>
      <c r="F120" s="220"/>
      <c r="G120" s="221"/>
      <c r="H120" s="148"/>
    </row>
    <row r="121" spans="1:8" ht="30" customHeight="1" x14ac:dyDescent="0.25">
      <c r="A121" s="201" t="s">
        <v>105</v>
      </c>
      <c r="B121" s="202"/>
      <c r="C121" s="331">
        <f>SUMIF(G40:G119,"FY14",C40:C119)+SUMIF(G40:G119,"FY15",C40:C119)+SUMIF(G40:G119,"FY16",C40:C119)+SUMIF(G40:G119,"FY17",C40:C119)+SUMIF(G40:G119,"FY18",C40:C119)+SUMIF(G40:G119,"FY19",C40:C119)</f>
        <v>1392.001797485178</v>
      </c>
      <c r="D121" s="222">
        <f>SUMIF(G40:G119,"FY14",D40:D119)+SUMIF(G40:G119,"FY15",D40:D119)+SUMIF(G40:G119,"FY16",D40:D119)+SUMIF(G40:G119,"FY17",D40:D119)+SUMIF(G40:G119,"FY18",D40:D119)+SUMIF(G40:G119,"FY19",D40:D119)</f>
        <v>60430840.469363764</v>
      </c>
      <c r="E121" s="334">
        <f>SUMIF(G40:G119,"FY14",E40:E119)+SUMIF(G40:G119,"FY15",E40:E119)+SUMIF(G40:G119,"FY16",E40:E119)+SUMIF(G40:G119,"FY17",E40:E119)+SUMIF(G40:G119,"FY18",E40:E119)+SUMIF(G40:G119,"FY19",E40:E119)</f>
        <v>6.5546460889168601E-2</v>
      </c>
      <c r="F121" s="205"/>
      <c r="G121" s="206"/>
      <c r="H121" s="148"/>
    </row>
    <row r="122" spans="1:8" ht="45" customHeight="1" thickBot="1" x14ac:dyDescent="0.3">
      <c r="A122" s="207" t="s">
        <v>135</v>
      </c>
      <c r="B122" s="208"/>
      <c r="C122" s="332">
        <f>C121+SUMIF(G40:G119,"FY20",C40:C119)+SUMIF(G40:G119,"FY21",C40:C119)+SUMIF(G40:G119,"FY22",C40:C119)+SUMIF(G40:G119,"FY23",C40:C119)</f>
        <v>3580.1870773127976</v>
      </c>
      <c r="D122" s="224">
        <f>D121+SUMIF(G40:G119,"FY20",D40:D119)+SUMIF(G40:G119,"FY21",D40:D119)+SUMIF(G40:G119,"FY22",D40:D119)+SUMIF(G40:G119,"FY23",D40:D119)</f>
        <v>152012818.71380123</v>
      </c>
      <c r="E122" s="211">
        <f>E121+SUMIF(G40:G119,"FY20",E40:E119)+SUMIF(G40:G119,"FY21",E40:E119)+SUMIF(G40:G119,"FY22",E40:E119)+SUMIF(G40:G119,"FY23",E40:E119)</f>
        <v>0.17110686291616142</v>
      </c>
      <c r="F122" s="212"/>
      <c r="G122" s="213"/>
      <c r="H122" s="148"/>
    </row>
    <row r="123" spans="1:8" x14ac:dyDescent="0.25">
      <c r="A123" s="101" t="s">
        <v>5</v>
      </c>
      <c r="B123" s="96"/>
      <c r="C123" s="236"/>
      <c r="D123" s="237"/>
      <c r="E123" s="238"/>
      <c r="F123" s="95"/>
      <c r="G123" s="127"/>
    </row>
    <row r="124" spans="1:8" x14ac:dyDescent="0.25">
      <c r="A124" s="329" t="s">
        <v>381</v>
      </c>
      <c r="B124" s="106" t="s">
        <v>307</v>
      </c>
      <c r="C124" s="93">
        <v>3.45</v>
      </c>
      <c r="D124" s="94">
        <v>174480</v>
      </c>
      <c r="E124" s="293">
        <f>C124/$B$6</f>
        <v>1.3810495976942477E-4</v>
      </c>
      <c r="F124" s="91" t="s">
        <v>165</v>
      </c>
      <c r="G124" s="124" t="s">
        <v>309</v>
      </c>
    </row>
    <row r="125" spans="1:8" x14ac:dyDescent="0.25">
      <c r="A125" s="329" t="s">
        <v>381</v>
      </c>
      <c r="B125" s="106" t="s">
        <v>307</v>
      </c>
      <c r="C125" s="214">
        <v>2.5</v>
      </c>
      <c r="D125" s="239">
        <v>213607.56</v>
      </c>
      <c r="E125" s="293">
        <f t="shared" ref="E125:E159" si="5">C125/$B$6</f>
        <v>1.0007605780393099E-4</v>
      </c>
      <c r="F125" s="91" t="s">
        <v>165</v>
      </c>
      <c r="G125" s="124" t="s">
        <v>310</v>
      </c>
    </row>
    <row r="126" spans="1:8" x14ac:dyDescent="0.25">
      <c r="A126" s="329" t="s">
        <v>381</v>
      </c>
      <c r="B126" s="106" t="s">
        <v>307</v>
      </c>
      <c r="C126" s="214">
        <v>5.8</v>
      </c>
      <c r="D126" s="239">
        <v>989703</v>
      </c>
      <c r="E126" s="293">
        <f t="shared" si="5"/>
        <v>2.3217645410511989E-4</v>
      </c>
      <c r="F126" s="91" t="s">
        <v>165</v>
      </c>
      <c r="G126" s="124" t="s">
        <v>311</v>
      </c>
    </row>
    <row r="127" spans="1:8" x14ac:dyDescent="0.25">
      <c r="A127" s="329" t="s">
        <v>381</v>
      </c>
      <c r="B127" s="106" t="s">
        <v>307</v>
      </c>
      <c r="C127" s="214">
        <v>2</v>
      </c>
      <c r="D127" s="239">
        <v>67901</v>
      </c>
      <c r="E127" s="293">
        <f t="shared" si="5"/>
        <v>8.0060846243144789E-5</v>
      </c>
      <c r="F127" s="91" t="s">
        <v>380</v>
      </c>
      <c r="G127" s="124" t="s">
        <v>611</v>
      </c>
    </row>
    <row r="128" spans="1:8" x14ac:dyDescent="0.25">
      <c r="A128" s="329" t="s">
        <v>381</v>
      </c>
      <c r="B128" s="106" t="s">
        <v>307</v>
      </c>
      <c r="C128" s="214">
        <v>2</v>
      </c>
      <c r="D128" s="239">
        <v>67901</v>
      </c>
      <c r="E128" s="293">
        <f t="shared" si="5"/>
        <v>8.0060846243144789E-5</v>
      </c>
      <c r="F128" s="91" t="s">
        <v>380</v>
      </c>
      <c r="G128" s="124" t="s">
        <v>612</v>
      </c>
    </row>
    <row r="129" spans="1:7" x14ac:dyDescent="0.25">
      <c r="A129" s="329" t="s">
        <v>381</v>
      </c>
      <c r="B129" s="106" t="s">
        <v>307</v>
      </c>
      <c r="C129" s="214">
        <v>2</v>
      </c>
      <c r="D129" s="239">
        <v>67901</v>
      </c>
      <c r="E129" s="293">
        <f t="shared" si="5"/>
        <v>8.0060846243144789E-5</v>
      </c>
      <c r="F129" s="91" t="s">
        <v>380</v>
      </c>
      <c r="G129" s="124" t="s">
        <v>613</v>
      </c>
    </row>
    <row r="130" spans="1:7" x14ac:dyDescent="0.25">
      <c r="A130" s="329" t="s">
        <v>381</v>
      </c>
      <c r="B130" s="106" t="s">
        <v>307</v>
      </c>
      <c r="C130" s="214">
        <v>2</v>
      </c>
      <c r="D130" s="239">
        <v>67901</v>
      </c>
      <c r="E130" s="293">
        <f t="shared" si="5"/>
        <v>8.0060846243144789E-5</v>
      </c>
      <c r="F130" s="91" t="s">
        <v>380</v>
      </c>
      <c r="G130" s="124" t="s">
        <v>614</v>
      </c>
    </row>
    <row r="131" spans="1:7" x14ac:dyDescent="0.25">
      <c r="A131" s="329" t="s">
        <v>381</v>
      </c>
      <c r="B131" s="106" t="s">
        <v>307</v>
      </c>
      <c r="C131" s="214">
        <v>2</v>
      </c>
      <c r="D131" s="239">
        <v>67901</v>
      </c>
      <c r="E131" s="293">
        <f t="shared" si="5"/>
        <v>8.0060846243144789E-5</v>
      </c>
      <c r="F131" s="91" t="s">
        <v>380</v>
      </c>
      <c r="G131" s="124" t="s">
        <v>615</v>
      </c>
    </row>
    <row r="132" spans="1:7" x14ac:dyDescent="0.25">
      <c r="A132" s="329"/>
      <c r="B132" s="106"/>
      <c r="C132" s="214"/>
      <c r="D132" s="239"/>
      <c r="E132" s="293"/>
      <c r="F132" s="91"/>
      <c r="G132" s="124"/>
    </row>
    <row r="133" spans="1:7" x14ac:dyDescent="0.25">
      <c r="A133" s="329" t="s">
        <v>377</v>
      </c>
      <c r="B133" s="106" t="s">
        <v>307</v>
      </c>
      <c r="C133" s="214">
        <v>12.89</v>
      </c>
      <c r="D133" s="239">
        <v>0</v>
      </c>
      <c r="E133" s="293">
        <f t="shared" si="5"/>
        <v>5.1599215403706821E-4</v>
      </c>
      <c r="F133" s="91" t="s">
        <v>165</v>
      </c>
      <c r="G133" s="124" t="s">
        <v>309</v>
      </c>
    </row>
    <row r="134" spans="1:7" x14ac:dyDescent="0.25">
      <c r="A134" s="329" t="s">
        <v>378</v>
      </c>
      <c r="B134" s="106" t="s">
        <v>307</v>
      </c>
      <c r="C134" s="214">
        <v>138.19999999999999</v>
      </c>
      <c r="D134" s="239">
        <v>645199</v>
      </c>
      <c r="E134" s="293">
        <f t="shared" si="5"/>
        <v>5.5322044754013049E-3</v>
      </c>
      <c r="F134" s="91" t="s">
        <v>165</v>
      </c>
      <c r="G134" s="124" t="s">
        <v>309</v>
      </c>
    </row>
    <row r="135" spans="1:7" x14ac:dyDescent="0.25">
      <c r="A135" s="329" t="s">
        <v>377</v>
      </c>
      <c r="B135" s="106" t="s">
        <v>307</v>
      </c>
      <c r="C135" s="214">
        <v>12.48</v>
      </c>
      <c r="D135" s="239">
        <v>0</v>
      </c>
      <c r="E135" s="293">
        <f t="shared" si="5"/>
        <v>4.9957968055722353E-4</v>
      </c>
      <c r="F135" s="91" t="s">
        <v>165</v>
      </c>
      <c r="G135" s="124" t="s">
        <v>310</v>
      </c>
    </row>
    <row r="136" spans="1:7" x14ac:dyDescent="0.25">
      <c r="A136" s="329" t="s">
        <v>378</v>
      </c>
      <c r="B136" s="106" t="s">
        <v>307</v>
      </c>
      <c r="C136" s="214">
        <v>40.56</v>
      </c>
      <c r="D136" s="239">
        <v>189764</v>
      </c>
      <c r="E136" s="293">
        <f t="shared" si="5"/>
        <v>1.6236339618109763E-3</v>
      </c>
      <c r="F136" s="91" t="s">
        <v>165</v>
      </c>
      <c r="G136" s="124" t="s">
        <v>310</v>
      </c>
    </row>
    <row r="137" spans="1:7" x14ac:dyDescent="0.25">
      <c r="A137" s="329" t="s">
        <v>377</v>
      </c>
      <c r="B137" s="106" t="s">
        <v>307</v>
      </c>
      <c r="C137" s="214">
        <v>5.46</v>
      </c>
      <c r="D137" s="239">
        <v>0</v>
      </c>
      <c r="E137" s="293">
        <f t="shared" si="5"/>
        <v>2.1856611024378527E-4</v>
      </c>
      <c r="F137" s="91" t="s">
        <v>165</v>
      </c>
      <c r="G137" s="124" t="s">
        <v>311</v>
      </c>
    </row>
    <row r="138" spans="1:7" x14ac:dyDescent="0.25">
      <c r="A138" s="329" t="s">
        <v>378</v>
      </c>
      <c r="B138" s="106" t="s">
        <v>307</v>
      </c>
      <c r="C138" s="214">
        <v>43.68</v>
      </c>
      <c r="D138" s="239">
        <v>113859</v>
      </c>
      <c r="E138" s="293">
        <f t="shared" si="5"/>
        <v>1.7485288819502822E-3</v>
      </c>
      <c r="F138" s="91" t="s">
        <v>165</v>
      </c>
      <c r="G138" s="124" t="s">
        <v>311</v>
      </c>
    </row>
    <row r="139" spans="1:7" x14ac:dyDescent="0.25">
      <c r="A139" s="329" t="s">
        <v>377</v>
      </c>
      <c r="B139" s="106" t="s">
        <v>307</v>
      </c>
      <c r="C139" s="214">
        <v>7.7</v>
      </c>
      <c r="D139" s="239">
        <v>0</v>
      </c>
      <c r="E139" s="293">
        <f t="shared" si="5"/>
        <v>3.0823425803610746E-4</v>
      </c>
      <c r="F139" s="91" t="s">
        <v>380</v>
      </c>
      <c r="G139" s="124" t="s">
        <v>611</v>
      </c>
    </row>
    <row r="140" spans="1:7" x14ac:dyDescent="0.25">
      <c r="A140" s="329" t="s">
        <v>378</v>
      </c>
      <c r="B140" s="106" t="s">
        <v>307</v>
      </c>
      <c r="C140" s="214">
        <v>50.63</v>
      </c>
      <c r="D140" s="239">
        <v>0</v>
      </c>
      <c r="E140" s="293">
        <f t="shared" si="5"/>
        <v>2.0267403226452104E-3</v>
      </c>
      <c r="F140" s="91" t="s">
        <v>380</v>
      </c>
      <c r="G140" s="124" t="s">
        <v>611</v>
      </c>
    </row>
    <row r="141" spans="1:7" x14ac:dyDescent="0.25">
      <c r="A141" s="329" t="s">
        <v>377</v>
      </c>
      <c r="B141" s="106" t="s">
        <v>307</v>
      </c>
      <c r="C141" s="214">
        <v>7.7</v>
      </c>
      <c r="D141" s="239">
        <v>0</v>
      </c>
      <c r="E141" s="293">
        <f t="shared" si="5"/>
        <v>3.0823425803610746E-4</v>
      </c>
      <c r="F141" s="91" t="s">
        <v>380</v>
      </c>
      <c r="G141" s="124" t="s">
        <v>612</v>
      </c>
    </row>
    <row r="142" spans="1:7" x14ac:dyDescent="0.25">
      <c r="A142" s="329" t="s">
        <v>378</v>
      </c>
      <c r="B142" s="106" t="s">
        <v>307</v>
      </c>
      <c r="C142" s="214">
        <v>50.63</v>
      </c>
      <c r="D142" s="239">
        <v>0</v>
      </c>
      <c r="E142" s="293">
        <f t="shared" si="5"/>
        <v>2.0267403226452104E-3</v>
      </c>
      <c r="F142" s="91" t="s">
        <v>380</v>
      </c>
      <c r="G142" s="124" t="s">
        <v>612</v>
      </c>
    </row>
    <row r="143" spans="1:7" x14ac:dyDescent="0.25">
      <c r="A143" s="329" t="s">
        <v>377</v>
      </c>
      <c r="B143" s="106" t="s">
        <v>307</v>
      </c>
      <c r="C143" s="214">
        <v>7.7</v>
      </c>
      <c r="D143" s="239">
        <v>0</v>
      </c>
      <c r="E143" s="293">
        <f t="shared" si="5"/>
        <v>3.0823425803610746E-4</v>
      </c>
      <c r="F143" s="91" t="s">
        <v>380</v>
      </c>
      <c r="G143" s="124" t="s">
        <v>613</v>
      </c>
    </row>
    <row r="144" spans="1:7" x14ac:dyDescent="0.25">
      <c r="A144" s="329" t="s">
        <v>378</v>
      </c>
      <c r="B144" s="106" t="s">
        <v>307</v>
      </c>
      <c r="C144" s="214">
        <v>50.63</v>
      </c>
      <c r="D144" s="239">
        <v>0</v>
      </c>
      <c r="E144" s="293">
        <f t="shared" si="5"/>
        <v>2.0267403226452104E-3</v>
      </c>
      <c r="F144" s="91" t="s">
        <v>380</v>
      </c>
      <c r="G144" s="124" t="s">
        <v>613</v>
      </c>
    </row>
    <row r="145" spans="1:7" x14ac:dyDescent="0.25">
      <c r="A145" s="329" t="s">
        <v>377</v>
      </c>
      <c r="B145" s="106" t="s">
        <v>307</v>
      </c>
      <c r="C145" s="214">
        <v>7.7</v>
      </c>
      <c r="D145" s="239">
        <v>0</v>
      </c>
      <c r="E145" s="293">
        <f t="shared" si="5"/>
        <v>3.0823425803610746E-4</v>
      </c>
      <c r="F145" s="91" t="s">
        <v>380</v>
      </c>
      <c r="G145" s="124" t="s">
        <v>614</v>
      </c>
    </row>
    <row r="146" spans="1:7" x14ac:dyDescent="0.25">
      <c r="A146" s="329" t="s">
        <v>378</v>
      </c>
      <c r="B146" s="106" t="s">
        <v>307</v>
      </c>
      <c r="C146" s="214">
        <v>50.63</v>
      </c>
      <c r="D146" s="239">
        <v>0</v>
      </c>
      <c r="E146" s="293">
        <f t="shared" si="5"/>
        <v>2.0267403226452104E-3</v>
      </c>
      <c r="F146" s="91" t="s">
        <v>380</v>
      </c>
      <c r="G146" s="124" t="s">
        <v>614</v>
      </c>
    </row>
    <row r="147" spans="1:7" x14ac:dyDescent="0.25">
      <c r="A147" s="329" t="s">
        <v>377</v>
      </c>
      <c r="B147" s="106" t="s">
        <v>307</v>
      </c>
      <c r="C147" s="214">
        <v>7.7</v>
      </c>
      <c r="D147" s="239">
        <v>0</v>
      </c>
      <c r="E147" s="293">
        <f t="shared" si="5"/>
        <v>3.0823425803610746E-4</v>
      </c>
      <c r="F147" s="91" t="s">
        <v>380</v>
      </c>
      <c r="G147" s="124" t="s">
        <v>615</v>
      </c>
    </row>
    <row r="148" spans="1:7" x14ac:dyDescent="0.25">
      <c r="A148" s="329" t="s">
        <v>378</v>
      </c>
      <c r="B148" s="106" t="s">
        <v>307</v>
      </c>
      <c r="C148" s="214">
        <v>50.63</v>
      </c>
      <c r="D148" s="239">
        <v>0</v>
      </c>
      <c r="E148" s="293">
        <f t="shared" si="5"/>
        <v>2.0267403226452104E-3</v>
      </c>
      <c r="F148" s="91" t="s">
        <v>380</v>
      </c>
      <c r="G148" s="124" t="s">
        <v>615</v>
      </c>
    </row>
    <row r="149" spans="1:7" x14ac:dyDescent="0.25">
      <c r="A149" s="329"/>
      <c r="B149" s="106"/>
      <c r="C149" s="214"/>
      <c r="D149" s="239"/>
      <c r="E149" s="293"/>
      <c r="F149" s="91"/>
      <c r="G149" s="124"/>
    </row>
    <row r="150" spans="1:7" x14ac:dyDescent="0.25">
      <c r="A150" s="329" t="s">
        <v>379</v>
      </c>
      <c r="B150" s="106" t="s">
        <v>307</v>
      </c>
      <c r="C150" s="214">
        <v>77.599999999999994</v>
      </c>
      <c r="D150" s="239">
        <v>318000</v>
      </c>
      <c r="E150" s="293">
        <f t="shared" si="5"/>
        <v>3.1063608342340177E-3</v>
      </c>
      <c r="F150" s="91" t="s">
        <v>165</v>
      </c>
      <c r="G150" s="124" t="s">
        <v>478</v>
      </c>
    </row>
    <row r="151" spans="1:7" x14ac:dyDescent="0.25">
      <c r="A151" s="329" t="s">
        <v>379</v>
      </c>
      <c r="B151" s="106" t="s">
        <v>307</v>
      </c>
      <c r="C151" s="214">
        <v>66.52</v>
      </c>
      <c r="D151" s="239">
        <v>530933.88</v>
      </c>
      <c r="E151" s="293">
        <f t="shared" si="5"/>
        <v>2.6628237460469954E-3</v>
      </c>
      <c r="F151" s="91" t="s">
        <v>165</v>
      </c>
      <c r="G151" s="124" t="s">
        <v>309</v>
      </c>
    </row>
    <row r="152" spans="1:7" x14ac:dyDescent="0.25">
      <c r="A152" s="329" t="s">
        <v>379</v>
      </c>
      <c r="B152" s="106" t="s">
        <v>307</v>
      </c>
      <c r="C152" s="298">
        <v>321.37375503029483</v>
      </c>
      <c r="D152" s="239">
        <v>1205098.02</v>
      </c>
      <c r="E152" s="293">
        <f t="shared" si="5"/>
        <v>1.2864727394031257E-2</v>
      </c>
      <c r="F152" s="91" t="s">
        <v>165</v>
      </c>
      <c r="G152" s="124" t="s">
        <v>310</v>
      </c>
    </row>
    <row r="153" spans="1:7" x14ac:dyDescent="0.25">
      <c r="A153" s="329" t="s">
        <v>379</v>
      </c>
      <c r="B153" s="106" t="s">
        <v>307</v>
      </c>
      <c r="C153" s="298">
        <v>31.44</v>
      </c>
      <c r="D153" s="239">
        <v>151653.85</v>
      </c>
      <c r="E153" s="293">
        <f t="shared" si="5"/>
        <v>1.2585565029422361E-3</v>
      </c>
      <c r="F153" s="91" t="s">
        <v>165</v>
      </c>
      <c r="G153" s="124" t="s">
        <v>311</v>
      </c>
    </row>
    <row r="154" spans="1:7" x14ac:dyDescent="0.25">
      <c r="A154" s="329" t="s">
        <v>379</v>
      </c>
      <c r="B154" s="106" t="s">
        <v>307</v>
      </c>
      <c r="C154" s="298">
        <v>12</v>
      </c>
      <c r="D154" s="239">
        <v>0</v>
      </c>
      <c r="E154" s="293">
        <f t="shared" si="5"/>
        <v>4.8036507745886876E-4</v>
      </c>
      <c r="F154" s="91" t="s">
        <v>165</v>
      </c>
      <c r="G154" s="124" t="s">
        <v>611</v>
      </c>
    </row>
    <row r="155" spans="1:7" x14ac:dyDescent="0.25">
      <c r="A155" s="329" t="s">
        <v>379</v>
      </c>
      <c r="B155" s="106" t="s">
        <v>307</v>
      </c>
      <c r="C155" s="214">
        <v>320.64</v>
      </c>
      <c r="D155" s="239">
        <v>8994101.2799999993</v>
      </c>
      <c r="E155" s="293">
        <f t="shared" si="5"/>
        <v>1.2835354869700973E-2</v>
      </c>
      <c r="F155" s="91" t="s">
        <v>380</v>
      </c>
      <c r="G155" s="124" t="s">
        <v>612</v>
      </c>
    </row>
    <row r="156" spans="1:7" x14ac:dyDescent="0.25">
      <c r="A156" s="329" t="s">
        <v>379</v>
      </c>
      <c r="B156" s="106" t="s">
        <v>307</v>
      </c>
      <c r="C156" s="214">
        <v>143</v>
      </c>
      <c r="D156" s="239">
        <v>1523415.36</v>
      </c>
      <c r="E156" s="293">
        <f t="shared" si="5"/>
        <v>5.7243505063848529E-3</v>
      </c>
      <c r="F156" s="91" t="s">
        <v>616</v>
      </c>
      <c r="G156" s="339" t="s">
        <v>613</v>
      </c>
    </row>
    <row r="157" spans="1:7" x14ac:dyDescent="0.25">
      <c r="A157" s="329"/>
      <c r="B157" s="106"/>
      <c r="C157" s="214"/>
      <c r="D157" s="239"/>
      <c r="E157" s="293"/>
      <c r="F157" s="91"/>
      <c r="G157" s="124"/>
    </row>
    <row r="158" spans="1:7" x14ac:dyDescent="0.25">
      <c r="A158" s="329" t="s">
        <v>377</v>
      </c>
      <c r="B158" s="106" t="s">
        <v>307</v>
      </c>
      <c r="C158" s="214">
        <v>113.5</v>
      </c>
      <c r="D158" s="239">
        <v>1708000</v>
      </c>
      <c r="E158" s="293">
        <f t="shared" si="5"/>
        <v>4.5434530242984671E-3</v>
      </c>
      <c r="F158" s="91" t="s">
        <v>380</v>
      </c>
      <c r="G158" s="339" t="s">
        <v>613</v>
      </c>
    </row>
    <row r="159" spans="1:7" x14ac:dyDescent="0.25">
      <c r="A159" s="329" t="s">
        <v>377</v>
      </c>
      <c r="B159" s="106" t="s">
        <v>307</v>
      </c>
      <c r="C159" s="214">
        <v>400</v>
      </c>
      <c r="D159" s="239">
        <v>8400000</v>
      </c>
      <c r="E159" s="293">
        <f t="shared" si="5"/>
        <v>1.6012169248628957E-2</v>
      </c>
      <c r="F159" s="91" t="s">
        <v>616</v>
      </c>
      <c r="G159" s="339" t="s">
        <v>614</v>
      </c>
    </row>
    <row r="160" spans="1:7" x14ac:dyDescent="0.25">
      <c r="A160" s="329"/>
      <c r="B160" s="106"/>
      <c r="C160" s="214"/>
      <c r="D160" s="239"/>
      <c r="E160" s="293"/>
      <c r="F160" s="91"/>
      <c r="G160" s="124"/>
    </row>
    <row r="161" spans="1:7" x14ac:dyDescent="0.25">
      <c r="A161" s="244" t="s">
        <v>620</v>
      </c>
      <c r="B161" s="93"/>
      <c r="C161" s="296">
        <v>30</v>
      </c>
      <c r="D161" s="249">
        <v>1000000</v>
      </c>
      <c r="E161" s="293">
        <f>C161/$B$6</f>
        <v>1.2009126936471718E-3</v>
      </c>
      <c r="F161" s="91" t="s">
        <v>616</v>
      </c>
      <c r="G161" s="124" t="s">
        <v>611</v>
      </c>
    </row>
    <row r="162" spans="1:7" x14ac:dyDescent="0.25">
      <c r="A162" s="244" t="s">
        <v>620</v>
      </c>
      <c r="B162" s="93"/>
      <c r="C162" s="296">
        <v>30</v>
      </c>
      <c r="D162" s="249">
        <v>1000000</v>
      </c>
      <c r="E162" s="293">
        <f>C162/$B$6</f>
        <v>1.2009126936471718E-3</v>
      </c>
      <c r="F162" s="91" t="s">
        <v>616</v>
      </c>
      <c r="G162" s="124" t="s">
        <v>612</v>
      </c>
    </row>
    <row r="163" spans="1:7" x14ac:dyDescent="0.25">
      <c r="A163" s="244" t="s">
        <v>620</v>
      </c>
      <c r="B163" s="93"/>
      <c r="C163" s="296">
        <v>30</v>
      </c>
      <c r="D163" s="249">
        <v>1000000</v>
      </c>
      <c r="E163" s="293">
        <f>C163/$B$6</f>
        <v>1.2009126936471718E-3</v>
      </c>
      <c r="F163" s="91" t="s">
        <v>616</v>
      </c>
      <c r="G163" s="124" t="s">
        <v>613</v>
      </c>
    </row>
    <row r="164" spans="1:7" x14ac:dyDescent="0.25">
      <c r="A164" s="244" t="s">
        <v>620</v>
      </c>
      <c r="B164" s="93"/>
      <c r="C164" s="296">
        <v>30</v>
      </c>
      <c r="D164" s="249">
        <v>1000000</v>
      </c>
      <c r="E164" s="293">
        <f>C164/$B$6</f>
        <v>1.2009126936471718E-3</v>
      </c>
      <c r="F164" s="91" t="s">
        <v>616</v>
      </c>
      <c r="G164" s="124" t="s">
        <v>614</v>
      </c>
    </row>
    <row r="165" spans="1:7" x14ac:dyDescent="0.25">
      <c r="A165" s="244" t="s">
        <v>620</v>
      </c>
      <c r="B165" s="93"/>
      <c r="C165" s="296">
        <v>30</v>
      </c>
      <c r="D165" s="249">
        <v>1000000</v>
      </c>
      <c r="E165" s="293">
        <f>C165/$B$6</f>
        <v>1.2009126936471718E-3</v>
      </c>
      <c r="F165" s="91" t="s">
        <v>616</v>
      </c>
      <c r="G165" s="124" t="s">
        <v>615</v>
      </c>
    </row>
    <row r="166" spans="1:7" ht="15.75" thickBot="1" x14ac:dyDescent="0.3">
      <c r="A166" s="329"/>
      <c r="B166" s="106"/>
      <c r="C166" s="214"/>
      <c r="D166" s="239"/>
      <c r="E166" s="293"/>
      <c r="F166" s="91"/>
      <c r="G166" s="124"/>
    </row>
    <row r="167" spans="1:7" ht="30" x14ac:dyDescent="0.25">
      <c r="A167" s="216" t="s">
        <v>106</v>
      </c>
      <c r="B167" s="217"/>
      <c r="C167" s="218">
        <f>SUMIF(G124:G166,"FY19",C124:C166)+SUMIF(G124:G166,"FY20",C124:C166)</f>
        <v>513.29999999999995</v>
      </c>
      <c r="D167" s="219">
        <f>SUMIF(G124:G166,"FY19",D124:D166)+SUMIF(G124:G166,"FY20",D124:D166)</f>
        <v>11129903.279999999</v>
      </c>
      <c r="E167" s="225">
        <f>SUMIF(G124:G166,"FY19",E124:E166)+SUMIF(G124:G166,"FY20",E124:E166)</f>
        <v>2.054761618830311E-2</v>
      </c>
      <c r="F167" s="220"/>
      <c r="G167" s="221"/>
    </row>
    <row r="168" spans="1:7" ht="30" x14ac:dyDescent="0.25">
      <c r="A168" s="201" t="s">
        <v>107</v>
      </c>
      <c r="B168" s="202"/>
      <c r="C168" s="331">
        <f>SUMIF(G124:G166,"FY14",C124:C166)+SUMIF(G124:G166,"FY15",C124:C166)+SUMIF(G124:G166,"FY16",C124:C166)+SUMIF(G124:G166,"FY17",C124:C166)+SUMIF(G124:G166,"FY18",C124:C166)+SUMIF(G124:G166,"FY19",C124:C166)</f>
        <v>864.28375503029486</v>
      </c>
      <c r="D168" s="222">
        <f>SUMIF(G124:G166,"FY14",D124:D166)+SUMIF(G124:G166,"FY15",D124:D166)+SUMIF(G124:G166,"FY16",D124:D166)+SUMIF(G124:G166,"FY17",D124:D166)+SUMIF(G124:G166,"FY18",D124:D166)+SUMIF(G124:G166,"FY19",D124:D166)</f>
        <v>5600199.3100000005</v>
      </c>
      <c r="E168" s="334">
        <f>SUMIF(G124:G166,"FY14",E124:E166)+SUMIF(G124:G166,"FY15",E124:E166)+SUMIF(G124:G166,"FY16",E124:E166)+SUMIF(G124:G166,"FY17",E124:E166)+SUMIF(G124:G166,"FY18",E124:E166)+SUMIF(G124:G166,"FY19",E124:E166)</f>
        <v>3.4597644410964128E-2</v>
      </c>
      <c r="F168" s="205"/>
      <c r="G168" s="206"/>
    </row>
    <row r="169" spans="1:7" ht="45" customHeight="1" thickBot="1" x14ac:dyDescent="0.3">
      <c r="A169" s="207" t="s">
        <v>137</v>
      </c>
      <c r="B169" s="208"/>
      <c r="C169" s="223">
        <f>C168+SUMIF(G124:G166,"FY20",C124:C166)+SUMIF(G124:G166,"FY21",C124:C166)+SUMIF(G124:G166,"FY22",C124:C166)+SUMIF(G124:G166,"FY23",C124:C166)</f>
        <v>2202.7437550302948</v>
      </c>
      <c r="D169" s="224">
        <f>D168+SUMIF(G124:G166,"FY20",D124:D166)+SUMIF(G124:G166,"FY21",D124:D166)+SUMIF(G124:G166,"FY22",D124:D166)+SUMIF(G124:G166,"FY23",D124:D166)</f>
        <v>30497319.949999999</v>
      </c>
      <c r="E169" s="211">
        <f>E168+SUMIF(G124:G166,"FY20",E124:E166)+SUMIF(G124:G166,"FY21",E124:E166)+SUMIF(G124:G166,"FY22",E124:E166)+SUMIF(G124:G166,"FY23",E124:E166)</f>
        <v>8.8176764542263905E-2</v>
      </c>
      <c r="F169" s="212"/>
      <c r="G169" s="213"/>
    </row>
    <row r="170" spans="1:7" ht="30" customHeight="1" x14ac:dyDescent="0.25">
      <c r="A170" s="172" t="s">
        <v>132</v>
      </c>
      <c r="B170" s="131"/>
      <c r="C170" s="240">
        <f t="shared" ref="C170:E172" si="6">C36+C120+C167</f>
        <v>1870.5633541318105</v>
      </c>
      <c r="D170" s="241">
        <f t="shared" si="6"/>
        <v>63373621.359730482</v>
      </c>
      <c r="E170" s="242">
        <f t="shared" si="6"/>
        <v>8.470348249145164E-2</v>
      </c>
      <c r="F170" s="142"/>
      <c r="G170" s="143"/>
    </row>
    <row r="171" spans="1:7" ht="30" customHeight="1" x14ac:dyDescent="0.25">
      <c r="A171" s="172" t="s">
        <v>128</v>
      </c>
      <c r="B171" s="132"/>
      <c r="C171" s="240">
        <f t="shared" si="6"/>
        <v>2681.3855525154727</v>
      </c>
      <c r="D171" s="241">
        <f t="shared" si="6"/>
        <v>69165553.979363769</v>
      </c>
      <c r="E171" s="242">
        <f t="shared" si="6"/>
        <v>0.11716103816911316</v>
      </c>
      <c r="F171" s="132"/>
      <c r="G171" s="144"/>
    </row>
    <row r="172" spans="1:7" ht="45.75" thickBot="1" x14ac:dyDescent="0.3">
      <c r="A172" s="133" t="s">
        <v>136</v>
      </c>
      <c r="B172" s="134"/>
      <c r="C172" s="362">
        <f t="shared" si="6"/>
        <v>6208.0308323430927</v>
      </c>
      <c r="D172" s="363">
        <f t="shared" si="6"/>
        <v>189517446.86380121</v>
      </c>
      <c r="E172" s="243">
        <f t="shared" si="6"/>
        <v>0.27630056032740574</v>
      </c>
      <c r="F172" s="145"/>
      <c r="G172" s="146"/>
    </row>
    <row r="173" spans="1:7" x14ac:dyDescent="0.25">
      <c r="A173" s="22"/>
      <c r="B173" s="22"/>
      <c r="C173" s="22"/>
      <c r="D173" s="22"/>
      <c r="E173" s="22"/>
      <c r="F173" s="22"/>
      <c r="G173" s="22"/>
    </row>
    <row r="174" spans="1:7" x14ac:dyDescent="0.25">
      <c r="A174" s="22"/>
      <c r="B174" s="22"/>
      <c r="C174" s="22"/>
      <c r="D174" s="22"/>
      <c r="E174" s="22"/>
      <c r="F174" s="17"/>
      <c r="G174" s="17"/>
    </row>
    <row r="175" spans="1:7" ht="15" customHeight="1" x14ac:dyDescent="0.25">
      <c r="A175" s="76" t="s">
        <v>15</v>
      </c>
      <c r="B175" s="192"/>
      <c r="C175" s="192"/>
      <c r="D175" s="192"/>
      <c r="E175" s="192"/>
      <c r="F175" s="192"/>
      <c r="G175" s="192"/>
    </row>
    <row r="176" spans="1:7" ht="31.5" customHeight="1" x14ac:dyDescent="0.25">
      <c r="A176" s="372" t="s">
        <v>91</v>
      </c>
      <c r="B176" s="372"/>
      <c r="C176" s="372"/>
      <c r="D176" s="372"/>
      <c r="E176" s="372"/>
      <c r="F176" s="372"/>
      <c r="G176" s="372"/>
    </row>
    <row r="177" spans="1:14" x14ac:dyDescent="0.25">
      <c r="A177" t="s">
        <v>50</v>
      </c>
      <c r="B177" s="22"/>
      <c r="C177" s="22"/>
      <c r="D177" s="22"/>
      <c r="E177" s="22"/>
      <c r="F177" s="22"/>
      <c r="G177" s="22"/>
    </row>
    <row r="178" spans="1:14" x14ac:dyDescent="0.25">
      <c r="A178" t="s">
        <v>51</v>
      </c>
      <c r="B178" s="22"/>
      <c r="C178" s="22"/>
      <c r="D178" s="22"/>
      <c r="E178" s="22"/>
      <c r="F178" s="22"/>
      <c r="G178" s="22"/>
      <c r="L178" s="163"/>
      <c r="N178" s="356"/>
    </row>
    <row r="179" spans="1:14" x14ac:dyDescent="0.25">
      <c r="A179" t="s">
        <v>96</v>
      </c>
      <c r="B179" s="22"/>
      <c r="C179" s="22"/>
      <c r="D179" s="22"/>
      <c r="E179" s="22"/>
      <c r="F179" s="22"/>
      <c r="G179" s="22"/>
      <c r="L179" s="163"/>
      <c r="N179" s="356"/>
    </row>
    <row r="180" spans="1:14" x14ac:dyDescent="0.25">
      <c r="A180" s="11"/>
      <c r="B180" s="22"/>
      <c r="C180" s="22"/>
      <c r="D180" s="22"/>
      <c r="E180" s="22"/>
      <c r="F180" s="22"/>
      <c r="G180" t="s">
        <v>127</v>
      </c>
      <c r="L180" s="163"/>
      <c r="N180" s="356"/>
    </row>
    <row r="181" spans="1:14" x14ac:dyDescent="0.25">
      <c r="L181" s="163"/>
      <c r="N181" s="356"/>
    </row>
    <row r="182" spans="1:14" x14ac:dyDescent="0.25">
      <c r="L182" s="163"/>
      <c r="N182" s="356"/>
    </row>
    <row r="183" spans="1:14" x14ac:dyDescent="0.25">
      <c r="L183" s="163"/>
      <c r="N183" s="356"/>
    </row>
    <row r="184" spans="1:14" x14ac:dyDescent="0.25">
      <c r="L184" s="163"/>
      <c r="N184" s="356"/>
    </row>
    <row r="185" spans="1:14" x14ac:dyDescent="0.25">
      <c r="N185" s="356"/>
    </row>
    <row r="187" spans="1:14" x14ac:dyDescent="0.25">
      <c r="N187" s="356"/>
    </row>
    <row r="188" spans="1:14" x14ac:dyDescent="0.25">
      <c r="N188" s="356"/>
    </row>
    <row r="189" spans="1:14" x14ac:dyDescent="0.25">
      <c r="N189" s="356"/>
    </row>
    <row r="190" spans="1:14" x14ac:dyDescent="0.25">
      <c r="N190" s="356"/>
    </row>
    <row r="191" spans="1:14" x14ac:dyDescent="0.25">
      <c r="N191" s="356"/>
    </row>
    <row r="192" spans="1:14" x14ac:dyDescent="0.25">
      <c r="N192" s="356"/>
    </row>
    <row r="193" spans="14:14" x14ac:dyDescent="0.25">
      <c r="N193" s="356"/>
    </row>
    <row r="194" spans="14:14" x14ac:dyDescent="0.25">
      <c r="N194" s="356"/>
    </row>
    <row r="195" spans="14:14" x14ac:dyDescent="0.25">
      <c r="N195" s="356"/>
    </row>
    <row r="196" spans="14:14" x14ac:dyDescent="0.25">
      <c r="N196" s="356"/>
    </row>
    <row r="197" spans="14:14" x14ac:dyDescent="0.25">
      <c r="N197" s="356"/>
    </row>
  </sheetData>
  <mergeCells count="3">
    <mergeCell ref="A1:G2"/>
    <mergeCell ref="A3:G4"/>
    <mergeCell ref="A176:G176"/>
  </mergeCells>
  <pageMargins left="0.7" right="0.7" top="0.75" bottom="0.75" header="0.3" footer="0.3"/>
  <pageSetup scale="67"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1"/>
  <sheetViews>
    <sheetView zoomScale="110" zoomScaleNormal="110" zoomScalePageLayoutView="130" workbookViewId="0">
      <pane xSplit="1" ySplit="7" topLeftCell="B8" activePane="bottomRight" state="frozen"/>
      <selection pane="topRight" activeCell="B1" sqref="B1"/>
      <selection pane="bottomLeft" activeCell="A8" sqref="A8"/>
      <selection pane="bottomRight" activeCell="G24" sqref="G24"/>
    </sheetView>
  </sheetViews>
  <sheetFormatPr defaultColWidth="8.85546875" defaultRowHeight="15" x14ac:dyDescent="0.25"/>
  <cols>
    <col min="1" max="1" width="43.42578125" customWidth="1"/>
    <col min="2" max="8" width="18.7109375" customWidth="1"/>
    <col min="9" max="9" width="19.28515625" customWidth="1"/>
    <col min="10" max="10" width="13.42578125" customWidth="1"/>
    <col min="11" max="11" width="14.85546875" bestFit="1" customWidth="1"/>
  </cols>
  <sheetData>
    <row r="1" spans="1:42" ht="15" customHeight="1" x14ac:dyDescent="0.25">
      <c r="A1" s="370" t="s">
        <v>119</v>
      </c>
      <c r="B1" s="370"/>
      <c r="C1" s="370"/>
      <c r="D1" s="370"/>
      <c r="E1" s="370"/>
      <c r="F1" s="370"/>
      <c r="G1" s="370"/>
      <c r="H1" s="370"/>
      <c r="I1" s="370"/>
      <c r="J1" s="153"/>
    </row>
    <row r="2" spans="1:42" x14ac:dyDescent="0.25">
      <c r="A2" s="370"/>
      <c r="B2" s="370"/>
      <c r="C2" s="370"/>
      <c r="D2" s="370"/>
      <c r="E2" s="370"/>
      <c r="F2" s="370"/>
      <c r="G2" s="370"/>
      <c r="H2" s="370"/>
      <c r="I2" s="370"/>
      <c r="J2" s="153"/>
    </row>
    <row r="3" spans="1:42" ht="15.75" thickBot="1" x14ac:dyDescent="0.3">
      <c r="A3" s="2"/>
    </row>
    <row r="4" spans="1:42" x14ac:dyDescent="0.25">
      <c r="A4" s="373" t="s">
        <v>71</v>
      </c>
      <c r="B4" s="53" t="s">
        <v>59</v>
      </c>
      <c r="C4" s="54" t="s">
        <v>112</v>
      </c>
      <c r="D4" s="54" t="s">
        <v>60</v>
      </c>
      <c r="E4" s="55" t="s">
        <v>60</v>
      </c>
      <c r="F4" s="55" t="s">
        <v>60</v>
      </c>
      <c r="G4" s="55" t="s">
        <v>60</v>
      </c>
      <c r="H4" s="55" t="s">
        <v>60</v>
      </c>
      <c r="I4" s="291" t="s">
        <v>66</v>
      </c>
    </row>
    <row r="5" spans="1:42" x14ac:dyDescent="0.25">
      <c r="A5" s="374"/>
      <c r="B5" s="57" t="s">
        <v>95</v>
      </c>
      <c r="C5" s="42" t="s">
        <v>130</v>
      </c>
      <c r="D5" s="42" t="s">
        <v>61</v>
      </c>
      <c r="E5" s="42" t="s">
        <v>62</v>
      </c>
      <c r="F5" s="42" t="s">
        <v>63</v>
      </c>
      <c r="G5" s="42" t="s">
        <v>64</v>
      </c>
      <c r="H5" s="42" t="s">
        <v>65</v>
      </c>
      <c r="I5" s="43" t="s">
        <v>72</v>
      </c>
    </row>
    <row r="6" spans="1:42" ht="15.75" thickBot="1" x14ac:dyDescent="0.3">
      <c r="A6" s="375"/>
      <c r="B6" s="59" t="s">
        <v>129</v>
      </c>
      <c r="C6" s="60" t="s">
        <v>6</v>
      </c>
      <c r="D6" s="60" t="s">
        <v>7</v>
      </c>
      <c r="E6" s="60" t="s">
        <v>8</v>
      </c>
      <c r="F6" s="60" t="s">
        <v>108</v>
      </c>
      <c r="G6" s="60" t="s">
        <v>109</v>
      </c>
      <c r="H6" s="60" t="s">
        <v>111</v>
      </c>
      <c r="I6" s="154"/>
    </row>
    <row r="7" spans="1:42" x14ac:dyDescent="0.25">
      <c r="A7" s="185" t="s">
        <v>81</v>
      </c>
      <c r="B7" s="49"/>
      <c r="C7" s="49"/>
      <c r="D7" s="49"/>
      <c r="E7" s="49"/>
      <c r="F7" s="49"/>
      <c r="G7" s="49"/>
      <c r="H7" s="49"/>
      <c r="I7" s="50"/>
    </row>
    <row r="8" spans="1:42" x14ac:dyDescent="0.25">
      <c r="A8" s="45" t="s">
        <v>9</v>
      </c>
      <c r="B8" s="14">
        <v>937859.8</v>
      </c>
      <c r="C8" s="14">
        <v>275515</v>
      </c>
      <c r="D8" s="14">
        <v>283780</v>
      </c>
      <c r="E8" s="14">
        <v>292293</v>
      </c>
      <c r="F8" s="14">
        <v>301062</v>
      </c>
      <c r="G8" s="14">
        <v>310094</v>
      </c>
      <c r="H8" s="14">
        <v>319396.82</v>
      </c>
      <c r="I8" s="46">
        <f>SUM(B8:H8)</f>
        <v>2720000.6199999996</v>
      </c>
      <c r="J8" s="166"/>
      <c r="K8" s="167"/>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x14ac:dyDescent="0.25">
      <c r="A9" s="45" t="s">
        <v>10</v>
      </c>
      <c r="B9" s="14">
        <v>2185298.4</v>
      </c>
      <c r="C9" s="14">
        <v>597049</v>
      </c>
      <c r="D9" s="14">
        <v>614960</v>
      </c>
      <c r="E9" s="14">
        <v>633409</v>
      </c>
      <c r="F9" s="14">
        <v>652411</v>
      </c>
      <c r="G9" s="14">
        <v>671984</v>
      </c>
      <c r="H9" s="14">
        <v>692144</v>
      </c>
      <c r="I9" s="46">
        <f>SUM(B9:H9)</f>
        <v>6047255.4000000004</v>
      </c>
      <c r="K9" s="162"/>
    </row>
    <row r="10" spans="1:42" x14ac:dyDescent="0.25">
      <c r="A10" s="45" t="s">
        <v>11</v>
      </c>
      <c r="B10" s="319">
        <f>39582094-(B8+B9)</f>
        <v>36458935.799999997</v>
      </c>
      <c r="C10" s="14">
        <f>11941225-(C8+C9)</f>
        <v>11068661</v>
      </c>
      <c r="D10" s="14">
        <f>13293900-(D8+D9)</f>
        <v>12395160</v>
      </c>
      <c r="E10" s="14">
        <f>12310723-(E8+E9)</f>
        <v>11385021</v>
      </c>
      <c r="F10" s="14">
        <f>12629349-(F8+F9)</f>
        <v>11675876</v>
      </c>
      <c r="G10" s="14">
        <f>12956560-(G8+G9)</f>
        <v>11974482</v>
      </c>
      <c r="H10" s="14">
        <f>12486629-(H8+H9)</f>
        <v>11475088.18</v>
      </c>
      <c r="I10" s="46">
        <f>SUM(B10:H10)</f>
        <v>106433223.97999999</v>
      </c>
      <c r="K10" s="163"/>
    </row>
    <row r="11" spans="1:42" x14ac:dyDescent="0.25">
      <c r="A11" s="45" t="s">
        <v>33</v>
      </c>
      <c r="B11" s="14">
        <v>7196084</v>
      </c>
      <c r="C11" s="364">
        <v>4418400</v>
      </c>
      <c r="D11" s="364">
        <v>5511000.4099999992</v>
      </c>
      <c r="E11" s="14">
        <v>7121352</v>
      </c>
      <c r="F11" s="14">
        <v>9441574</v>
      </c>
      <c r="G11" s="14">
        <v>11884581</v>
      </c>
      <c r="H11" s="14">
        <v>14327585</v>
      </c>
      <c r="I11" s="46">
        <f>SUM(B11:H11)</f>
        <v>59900576.409999996</v>
      </c>
      <c r="K11" s="163"/>
    </row>
    <row r="12" spans="1:42" x14ac:dyDescent="0.25">
      <c r="A12" s="160" t="s">
        <v>675</v>
      </c>
      <c r="B12" s="161">
        <v>6039000</v>
      </c>
      <c r="C12" s="161">
        <v>667100</v>
      </c>
      <c r="D12" s="161"/>
      <c r="E12" s="161"/>
      <c r="F12" s="161"/>
      <c r="G12" s="161"/>
      <c r="H12" s="161"/>
      <c r="I12" s="46">
        <f>SUM(B12:H12)</f>
        <v>6706100</v>
      </c>
      <c r="K12" s="163"/>
    </row>
    <row r="13" spans="1:42" x14ac:dyDescent="0.25">
      <c r="A13" s="186" t="s">
        <v>82</v>
      </c>
      <c r="B13" s="158"/>
      <c r="C13" s="158"/>
      <c r="D13" s="158"/>
      <c r="E13" s="158"/>
      <c r="F13" s="158"/>
      <c r="G13" s="158"/>
      <c r="H13" s="158"/>
      <c r="I13" s="159"/>
      <c r="K13" s="163"/>
    </row>
    <row r="14" spans="1:42" x14ac:dyDescent="0.25">
      <c r="A14" s="47" t="s">
        <v>676</v>
      </c>
      <c r="B14" s="365">
        <v>2681915</v>
      </c>
      <c r="C14" s="14"/>
      <c r="D14" s="14"/>
      <c r="E14" s="14"/>
      <c r="F14" s="14"/>
      <c r="G14" s="14"/>
      <c r="H14" s="14"/>
      <c r="I14" s="46">
        <f t="shared" ref="I14:I20" si="0">SUM(B14:H14)</f>
        <v>2681915</v>
      </c>
      <c r="K14" s="163"/>
    </row>
    <row r="15" spans="1:42" x14ac:dyDescent="0.25">
      <c r="A15" s="47" t="s">
        <v>12</v>
      </c>
      <c r="B15" s="14"/>
      <c r="C15" s="14"/>
      <c r="D15" s="14"/>
      <c r="E15" s="14"/>
      <c r="F15" s="14"/>
      <c r="G15" s="14"/>
      <c r="H15" s="14"/>
      <c r="I15" s="46">
        <f t="shared" si="0"/>
        <v>0</v>
      </c>
      <c r="K15" s="163"/>
    </row>
    <row r="16" spans="1:42" x14ac:dyDescent="0.25">
      <c r="A16" s="47" t="s">
        <v>13</v>
      </c>
      <c r="B16" s="14">
        <v>47412000</v>
      </c>
      <c r="C16" s="14">
        <v>13008000</v>
      </c>
      <c r="D16" s="14">
        <v>30000000</v>
      </c>
      <c r="E16" s="14">
        <v>40000000</v>
      </c>
      <c r="F16" s="14">
        <v>42000000</v>
      </c>
      <c r="G16" s="14">
        <v>42000000</v>
      </c>
      <c r="H16" s="14">
        <v>42000000</v>
      </c>
      <c r="I16" s="46">
        <f t="shared" si="0"/>
        <v>256420000</v>
      </c>
      <c r="K16" s="163"/>
    </row>
    <row r="17" spans="1:11" x14ac:dyDescent="0.25">
      <c r="A17" s="47" t="s">
        <v>14</v>
      </c>
      <c r="B17" s="14">
        <f>457431+1000000+1000000</f>
        <v>2457431</v>
      </c>
      <c r="C17" s="14">
        <v>1000000</v>
      </c>
      <c r="D17" s="14">
        <v>1000000</v>
      </c>
      <c r="E17" s="14">
        <v>1000000</v>
      </c>
      <c r="F17" s="14">
        <v>1000000</v>
      </c>
      <c r="G17" s="14">
        <v>1000000</v>
      </c>
      <c r="H17" s="14">
        <v>1000000</v>
      </c>
      <c r="I17" s="164">
        <f t="shared" si="0"/>
        <v>8457431</v>
      </c>
      <c r="K17" s="163"/>
    </row>
    <row r="18" spans="1:11" x14ac:dyDescent="0.25">
      <c r="A18" s="160" t="s">
        <v>85</v>
      </c>
      <c r="B18" s="161" t="s">
        <v>78</v>
      </c>
      <c r="C18" s="161" t="s">
        <v>78</v>
      </c>
      <c r="D18" s="161" t="s">
        <v>78</v>
      </c>
      <c r="E18" s="161" t="s">
        <v>78</v>
      </c>
      <c r="F18" s="161" t="s">
        <v>78</v>
      </c>
      <c r="G18" s="161" t="s">
        <v>78</v>
      </c>
      <c r="H18" s="161" t="s">
        <v>78</v>
      </c>
      <c r="I18" s="164">
        <f t="shared" si="0"/>
        <v>0</v>
      </c>
      <c r="K18" s="163"/>
    </row>
    <row r="19" spans="1:11" x14ac:dyDescent="0.25">
      <c r="A19" s="156" t="s">
        <v>79</v>
      </c>
      <c r="B19" s="26">
        <f>SUM(B8:B12,B15,B18)</f>
        <v>52817178</v>
      </c>
      <c r="C19" s="26">
        <f t="shared" ref="C19:H19" si="1">SUM(C8:C12,C14:C15,C18)</f>
        <v>17026725</v>
      </c>
      <c r="D19" s="26">
        <f t="shared" si="1"/>
        <v>18804900.41</v>
      </c>
      <c r="E19" s="26">
        <f t="shared" si="1"/>
        <v>19432075</v>
      </c>
      <c r="F19" s="26">
        <f t="shared" si="1"/>
        <v>22070923</v>
      </c>
      <c r="G19" s="26">
        <f t="shared" si="1"/>
        <v>24841141</v>
      </c>
      <c r="H19" s="26">
        <f t="shared" si="1"/>
        <v>26814214</v>
      </c>
      <c r="I19" s="67">
        <f t="shared" si="0"/>
        <v>181807156.41</v>
      </c>
    </row>
    <row r="20" spans="1:11" ht="15.75" thickBot="1" x14ac:dyDescent="0.3">
      <c r="A20" s="83" t="s">
        <v>36</v>
      </c>
      <c r="B20" s="48">
        <f t="shared" ref="B20:H20" si="2">SUM(B8:B18)</f>
        <v>105368524</v>
      </c>
      <c r="C20" s="48">
        <f>SUM(C8:C18)</f>
        <v>31034725</v>
      </c>
      <c r="D20" s="48">
        <f>SUM(D8:D18)</f>
        <v>49804900.409999996</v>
      </c>
      <c r="E20" s="48">
        <f t="shared" si="2"/>
        <v>60432075</v>
      </c>
      <c r="F20" s="48">
        <f t="shared" si="2"/>
        <v>65070923</v>
      </c>
      <c r="G20" s="48">
        <f t="shared" si="2"/>
        <v>67841141</v>
      </c>
      <c r="H20" s="48">
        <f t="shared" si="2"/>
        <v>69814214</v>
      </c>
      <c r="I20" s="84">
        <f t="shared" si="0"/>
        <v>449366502.40999997</v>
      </c>
      <c r="K20" s="163"/>
    </row>
    <row r="21" spans="1:11" x14ac:dyDescent="0.25">
      <c r="A21" s="15"/>
      <c r="B21" s="44"/>
      <c r="C21" s="44"/>
      <c r="D21" s="44"/>
      <c r="E21" s="44"/>
      <c r="F21" s="44"/>
      <c r="H21" s="81" t="s">
        <v>75</v>
      </c>
      <c r="I21" s="82">
        <f>I20-I11</f>
        <v>389465926</v>
      </c>
    </row>
    <row r="22" spans="1:11" x14ac:dyDescent="0.25">
      <c r="A22" s="15"/>
      <c r="B22" s="16"/>
      <c r="C22" s="16"/>
      <c r="D22" s="17"/>
      <c r="E22" s="17"/>
      <c r="F22" s="18"/>
      <c r="G22" s="19"/>
      <c r="H22" s="51" t="s">
        <v>76</v>
      </c>
      <c r="I22" s="292">
        <f>I21/'All Actions 4-202.1(j)(1)(i)1'!D172</f>
        <v>2.0550399577717715</v>
      </c>
    </row>
    <row r="23" spans="1:11" x14ac:dyDescent="0.25">
      <c r="A23" s="24"/>
      <c r="B23" s="16"/>
      <c r="C23" s="16"/>
      <c r="D23" s="17"/>
      <c r="E23" s="17"/>
      <c r="F23" s="18"/>
      <c r="G23" s="19"/>
      <c r="H23" s="13"/>
    </row>
    <row r="24" spans="1:11" x14ac:dyDescent="0.25">
      <c r="B24" s="16"/>
      <c r="C24" s="16"/>
      <c r="D24" s="17"/>
      <c r="E24" s="170"/>
      <c r="F24" s="3"/>
      <c r="G24" s="19"/>
      <c r="H24" s="13"/>
    </row>
    <row r="25" spans="1:11" x14ac:dyDescent="0.25">
      <c r="A25" s="20" t="s">
        <v>15</v>
      </c>
      <c r="D25" s="24"/>
      <c r="E25" s="171"/>
      <c r="F25" s="24"/>
      <c r="G25" s="19"/>
      <c r="H25" s="13"/>
    </row>
    <row r="26" spans="1:11" x14ac:dyDescent="0.25">
      <c r="A26" s="21" t="s">
        <v>125</v>
      </c>
      <c r="D26" s="24"/>
      <c r="G26" s="19"/>
      <c r="H26" s="13"/>
    </row>
    <row r="27" spans="1:11" x14ac:dyDescent="0.25">
      <c r="A27" s="21" t="s">
        <v>126</v>
      </c>
      <c r="D27" s="24"/>
      <c r="G27" s="19"/>
      <c r="H27" s="13"/>
    </row>
    <row r="28" spans="1:11" x14ac:dyDescent="0.25">
      <c r="A28" s="177" t="s">
        <v>84</v>
      </c>
      <c r="D28" s="24"/>
      <c r="G28" s="19"/>
      <c r="H28" s="13"/>
    </row>
    <row r="29" spans="1:11" x14ac:dyDescent="0.25">
      <c r="A29" s="23"/>
      <c r="D29" s="24"/>
      <c r="G29" s="19"/>
      <c r="H29" s="13"/>
    </row>
    <row r="30" spans="1:11" x14ac:dyDescent="0.25">
      <c r="A30" s="23"/>
      <c r="D30" s="24"/>
      <c r="G30" s="19"/>
      <c r="H30" s="13"/>
      <c r="I30" t="s">
        <v>127</v>
      </c>
    </row>
    <row r="50" spans="7:8" x14ac:dyDescent="0.25">
      <c r="G50" s="19"/>
      <c r="H50" s="13"/>
    </row>
    <row r="51" spans="7:8" x14ac:dyDescent="0.25">
      <c r="H51" s="2"/>
    </row>
  </sheetData>
  <customSheetViews>
    <customSheetView guid="{3A7AD114-4D74-4E12-B483-5F1EDDDDB7E3}" scale="90">
      <pane xSplit="1" ySplit="7" topLeftCell="B8" activePane="bottomRight" state="frozenSplit"/>
      <selection pane="bottomRight" activeCell="I22" sqref="I22"/>
      <pageMargins left="0.7" right="0.7" top="0.75" bottom="0.75" header="0.3" footer="0.3"/>
      <pageSetup orientation="portrait"/>
    </customSheetView>
    <customSheetView guid="{19EB585C-0FBE-4704-A3C1-6BA57A72C50F}" scale="90">
      <pane xSplit="1" ySplit="7" topLeftCell="B8" activePane="bottomRight" state="frozenSplit"/>
      <selection pane="bottomRight" activeCell="A27" sqref="A27"/>
      <pageMargins left="0.7" right="0.7" top="0.75" bottom="0.75" header="0.3" footer="0.3"/>
      <pageSetup orientation="portrait" r:id="rId1"/>
    </customSheetView>
  </customSheetViews>
  <mergeCells count="2">
    <mergeCell ref="A4:A6"/>
    <mergeCell ref="A1:I2"/>
  </mergeCells>
  <pageMargins left="0.7" right="0.7" top="0.75" bottom="0.75" header="0.3" footer="0.3"/>
  <pageSetup scale="59" fitToHeight="0" orientation="landscape" r:id="rId2"/>
  <ignoredErrors>
    <ignoredError sqref="C19:H19" formulaRange="1"/>
  </ignoredError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PageLayoutView="130" workbookViewId="0">
      <selection activeCell="H12" sqref="H12"/>
    </sheetView>
  </sheetViews>
  <sheetFormatPr defaultColWidth="8.85546875" defaultRowHeight="15" x14ac:dyDescent="0.25"/>
  <cols>
    <col min="1" max="1" width="16.7109375" bestFit="1" customWidth="1"/>
    <col min="2" max="3" width="17.42578125" style="10" customWidth="1"/>
    <col min="4" max="10" width="17.42578125" customWidth="1"/>
  </cols>
  <sheetData>
    <row r="1" spans="1:11" ht="30" customHeight="1" x14ac:dyDescent="0.25">
      <c r="A1" s="370" t="s">
        <v>120</v>
      </c>
      <c r="B1" s="370"/>
      <c r="C1" s="370"/>
      <c r="D1" s="370"/>
      <c r="E1" s="370"/>
      <c r="F1" s="370"/>
      <c r="G1" s="370"/>
      <c r="H1" s="370"/>
      <c r="I1" s="370"/>
      <c r="J1" s="370"/>
      <c r="K1" s="22"/>
    </row>
    <row r="2" spans="1:11" x14ac:dyDescent="0.25">
      <c r="A2" s="25"/>
      <c r="B2" s="25"/>
      <c r="C2" s="35"/>
      <c r="D2" s="22"/>
      <c r="E2" s="22"/>
      <c r="F2" s="22"/>
      <c r="G2" s="22"/>
      <c r="H2" s="22"/>
      <c r="I2" s="22"/>
      <c r="J2" s="22"/>
      <c r="K2" s="22"/>
    </row>
    <row r="3" spans="1:11" ht="15.75" thickBot="1" x14ac:dyDescent="0.3">
      <c r="A3" s="22"/>
      <c r="B3" s="35"/>
      <c r="C3" s="35"/>
      <c r="D3" s="22"/>
      <c r="E3" s="22"/>
      <c r="F3" s="22"/>
      <c r="G3" s="22"/>
      <c r="H3" s="22"/>
      <c r="I3" s="22"/>
      <c r="J3" s="22"/>
      <c r="K3" s="22"/>
    </row>
    <row r="4" spans="1:11" x14ac:dyDescent="0.25">
      <c r="A4" s="37"/>
      <c r="B4" s="53" t="s">
        <v>59</v>
      </c>
      <c r="C4" s="54" t="s">
        <v>112</v>
      </c>
      <c r="D4" s="54" t="s">
        <v>60</v>
      </c>
      <c r="E4" s="55" t="s">
        <v>60</v>
      </c>
      <c r="F4" s="55" t="s">
        <v>60</v>
      </c>
      <c r="G4" s="55" t="s">
        <v>60</v>
      </c>
      <c r="H4" s="55" t="s">
        <v>60</v>
      </c>
      <c r="I4" s="38" t="s">
        <v>69</v>
      </c>
      <c r="J4" s="39" t="s">
        <v>66</v>
      </c>
      <c r="K4" s="22"/>
    </row>
    <row r="5" spans="1:11" x14ac:dyDescent="0.25">
      <c r="A5" s="40"/>
      <c r="B5" s="57" t="s">
        <v>95</v>
      </c>
      <c r="C5" s="42" t="s">
        <v>113</v>
      </c>
      <c r="D5" s="42" t="s">
        <v>61</v>
      </c>
      <c r="E5" s="42" t="s">
        <v>62</v>
      </c>
      <c r="F5" s="42" t="s">
        <v>63</v>
      </c>
      <c r="G5" s="42" t="s">
        <v>64</v>
      </c>
      <c r="H5" s="42" t="s">
        <v>65</v>
      </c>
      <c r="I5" s="41" t="s">
        <v>70</v>
      </c>
      <c r="J5" s="43"/>
      <c r="K5" s="22"/>
    </row>
    <row r="6" spans="1:11" ht="15.75" thickBot="1" x14ac:dyDescent="0.3">
      <c r="A6" s="72" t="s">
        <v>71</v>
      </c>
      <c r="B6" s="59">
        <v>2017</v>
      </c>
      <c r="C6" s="60" t="s">
        <v>6</v>
      </c>
      <c r="D6" s="60" t="s">
        <v>7</v>
      </c>
      <c r="E6" s="60" t="s">
        <v>8</v>
      </c>
      <c r="F6" s="60" t="s">
        <v>108</v>
      </c>
      <c r="G6" s="60" t="s">
        <v>109</v>
      </c>
      <c r="H6" s="60" t="s">
        <v>111</v>
      </c>
      <c r="I6" s="73" t="s">
        <v>110</v>
      </c>
      <c r="J6" s="61"/>
      <c r="K6" s="22"/>
    </row>
    <row r="7" spans="1:11" ht="45" customHeight="1" x14ac:dyDescent="0.25">
      <c r="A7" s="149" t="s">
        <v>30</v>
      </c>
      <c r="B7" s="150">
        <f>'Fund Sources 4-202.1(j)(1)(i)4'!B26</f>
        <v>127163443</v>
      </c>
      <c r="C7" s="150">
        <f>'Fund Sources 4-202.1(j)(1)(i)4'!C26</f>
        <v>38533173</v>
      </c>
      <c r="D7" s="150">
        <f>'Fund Sources 4-202.1(j)(1)(i)4'!D26</f>
        <v>56313165</v>
      </c>
      <c r="E7" s="150">
        <f>'Fund Sources 4-202.1(j)(1)(i)4'!E26</f>
        <v>68426199.155124992</v>
      </c>
      <c r="F7" s="150">
        <f>'Fund Sources 4-202.1(j)(1)(i)4'!F26</f>
        <v>69781141.319598347</v>
      </c>
      <c r="G7" s="150">
        <f>'Fund Sources 4-202.1(j)(1)(i)4'!G26</f>
        <v>70566506.225498304</v>
      </c>
      <c r="H7" s="150">
        <f>'Fund Sources 4-202.1(j)(1)(i)4'!H26</f>
        <v>71339896.177323252</v>
      </c>
      <c r="I7" s="173">
        <f>SUM(D7:E7)</f>
        <v>124739364.15512499</v>
      </c>
      <c r="J7" s="151">
        <f>SUM(B7:H7)</f>
        <v>502123523.87754488</v>
      </c>
      <c r="K7" s="22"/>
    </row>
    <row r="8" spans="1:11" ht="30.75" thickBot="1" x14ac:dyDescent="0.3">
      <c r="A8" s="155" t="s">
        <v>77</v>
      </c>
      <c r="B8" s="194">
        <f>'ISRP Cost 4-202.1(j)(1)(i)2'!B20</f>
        <v>105368524</v>
      </c>
      <c r="C8" s="194">
        <f>'ISRP Cost 4-202.1(j)(1)(i)2'!C20</f>
        <v>31034725</v>
      </c>
      <c r="D8" s="194">
        <f>'ISRP Cost 4-202.1(j)(1)(i)2'!D20</f>
        <v>49804900.409999996</v>
      </c>
      <c r="E8" s="194">
        <f>'ISRP Cost 4-202.1(j)(1)(i)2'!E20</f>
        <v>60432075</v>
      </c>
      <c r="F8" s="194">
        <f>'ISRP Cost 4-202.1(j)(1)(i)2'!F20</f>
        <v>65070923</v>
      </c>
      <c r="G8" s="194">
        <f>'ISRP Cost 4-202.1(j)(1)(i)2'!G20</f>
        <v>67841141</v>
      </c>
      <c r="H8" s="194">
        <f>'ISRP Cost 4-202.1(j)(1)(i)2'!H20</f>
        <v>69814214</v>
      </c>
      <c r="I8" s="174">
        <f>SUM(D8:E8)</f>
        <v>110236975.41</v>
      </c>
      <c r="J8" s="152">
        <f>SUM(B8:H8)</f>
        <v>449366502.40999997</v>
      </c>
      <c r="K8" s="22"/>
    </row>
    <row r="9" spans="1:11" x14ac:dyDescent="0.25">
      <c r="A9" s="22"/>
      <c r="B9" s="35"/>
      <c r="C9" s="35"/>
      <c r="D9" s="22"/>
      <c r="E9" s="22"/>
      <c r="F9" s="22"/>
      <c r="G9" s="22"/>
      <c r="H9" s="77" t="s">
        <v>123</v>
      </c>
      <c r="I9" s="78">
        <f>I7/I8</f>
        <v>1.1315564826700555</v>
      </c>
      <c r="J9" s="36"/>
      <c r="K9" s="22"/>
    </row>
    <row r="10" spans="1:11" x14ac:dyDescent="0.25">
      <c r="A10" s="22"/>
      <c r="B10" s="35"/>
      <c r="C10" s="35"/>
      <c r="D10" s="22"/>
      <c r="E10" s="22"/>
      <c r="F10" s="22"/>
      <c r="G10" s="22"/>
      <c r="H10" s="79" t="s">
        <v>678</v>
      </c>
      <c r="I10" s="80">
        <v>1</v>
      </c>
      <c r="J10" s="22"/>
      <c r="K10" s="22"/>
    </row>
    <row r="11" spans="1:11" x14ac:dyDescent="0.25">
      <c r="A11" s="22"/>
      <c r="B11" s="35"/>
      <c r="C11" s="35"/>
      <c r="D11" s="22"/>
      <c r="E11" s="22"/>
      <c r="F11" s="22"/>
      <c r="G11" s="22"/>
      <c r="H11" s="22"/>
      <c r="I11" s="22"/>
      <c r="J11" s="22"/>
      <c r="K11" s="22"/>
    </row>
    <row r="12" spans="1:11" x14ac:dyDescent="0.25">
      <c r="A12" s="22" t="s">
        <v>31</v>
      </c>
      <c r="B12" s="35"/>
      <c r="C12" s="35"/>
      <c r="D12" s="22"/>
      <c r="E12" s="22"/>
      <c r="F12" s="22"/>
      <c r="G12" s="22"/>
      <c r="H12" s="22"/>
      <c r="I12" s="22"/>
      <c r="J12" s="22"/>
      <c r="K12" s="22"/>
    </row>
    <row r="13" spans="1:11" x14ac:dyDescent="0.25">
      <c r="A13" s="22"/>
      <c r="B13" s="35"/>
      <c r="C13" s="35"/>
      <c r="D13" s="22"/>
      <c r="E13" s="22"/>
      <c r="F13" s="22"/>
      <c r="G13" s="22"/>
      <c r="H13" s="22"/>
      <c r="I13" s="22"/>
      <c r="J13" s="22"/>
      <c r="K13" s="22"/>
    </row>
    <row r="14" spans="1:11" ht="30.75" customHeight="1" x14ac:dyDescent="0.25">
      <c r="A14" s="376" t="s">
        <v>114</v>
      </c>
      <c r="B14" s="376"/>
      <c r="C14" s="376"/>
      <c r="D14" s="376"/>
      <c r="E14" s="376"/>
      <c r="F14" s="376"/>
      <c r="G14" s="376"/>
      <c r="H14" s="376"/>
      <c r="I14" s="376"/>
      <c r="J14" s="376"/>
      <c r="K14" s="22"/>
    </row>
    <row r="15" spans="1:11" ht="29.25" customHeight="1" x14ac:dyDescent="0.25">
      <c r="A15" s="376" t="s">
        <v>115</v>
      </c>
      <c r="B15" s="376"/>
      <c r="C15" s="376"/>
      <c r="D15" s="376"/>
      <c r="E15" s="376"/>
      <c r="F15" s="376"/>
      <c r="G15" s="376"/>
      <c r="H15" s="376"/>
      <c r="I15" s="376"/>
      <c r="J15" s="376"/>
      <c r="K15" s="22"/>
    </row>
    <row r="16" spans="1:11" x14ac:dyDescent="0.25">
      <c r="A16" s="179" t="s">
        <v>56</v>
      </c>
      <c r="B16" s="180"/>
      <c r="C16" s="180"/>
      <c r="D16" s="181"/>
      <c r="E16" s="181"/>
      <c r="F16" s="181"/>
      <c r="G16" s="181"/>
      <c r="H16" s="181"/>
      <c r="I16" s="181"/>
      <c r="J16" s="181"/>
      <c r="K16" s="22"/>
    </row>
    <row r="17" spans="1:11" x14ac:dyDescent="0.25">
      <c r="A17" s="181"/>
      <c r="B17" s="180"/>
      <c r="C17" s="180"/>
      <c r="D17" s="181"/>
      <c r="E17" s="181"/>
      <c r="F17" s="181"/>
      <c r="G17" s="181"/>
      <c r="H17" s="181"/>
      <c r="I17" s="181"/>
      <c r="J17" s="181"/>
      <c r="K17" s="22"/>
    </row>
    <row r="18" spans="1:11" x14ac:dyDescent="0.25">
      <c r="A18" s="182"/>
      <c r="B18" s="180"/>
      <c r="C18" s="180"/>
      <c r="D18" s="181"/>
      <c r="E18" s="181"/>
      <c r="F18" s="181"/>
      <c r="G18" s="181"/>
      <c r="H18" s="181"/>
      <c r="I18" s="181"/>
      <c r="J18" t="s">
        <v>127</v>
      </c>
      <c r="K18" s="22"/>
    </row>
    <row r="19" spans="1:11" x14ac:dyDescent="0.25">
      <c r="A19" s="183"/>
      <c r="B19" s="184"/>
      <c r="C19" s="184"/>
      <c r="D19" s="183"/>
      <c r="E19" s="183"/>
      <c r="F19" s="183"/>
      <c r="G19" s="183"/>
      <c r="H19" s="183"/>
      <c r="I19" s="183"/>
      <c r="J19" s="183"/>
    </row>
    <row r="20" spans="1:11" x14ac:dyDescent="0.25">
      <c r="A20" s="183"/>
      <c r="B20" s="184"/>
      <c r="C20" s="184"/>
      <c r="D20" s="183"/>
      <c r="E20" s="183"/>
      <c r="F20" s="183"/>
      <c r="G20" s="183"/>
      <c r="H20" s="183"/>
      <c r="I20" s="183"/>
      <c r="J20" s="183"/>
    </row>
    <row r="21" spans="1:11" x14ac:dyDescent="0.25">
      <c r="A21" s="183"/>
      <c r="B21" s="184"/>
      <c r="C21" s="184"/>
      <c r="D21" s="183"/>
      <c r="E21" s="183"/>
      <c r="F21" s="183"/>
      <c r="G21" s="183"/>
      <c r="H21" s="183"/>
      <c r="I21" s="183"/>
      <c r="J21" s="183"/>
    </row>
    <row r="22" spans="1:11" x14ac:dyDescent="0.25">
      <c r="A22" s="183"/>
      <c r="B22" s="184"/>
      <c r="C22" s="184"/>
      <c r="D22" s="183"/>
      <c r="E22" s="183"/>
      <c r="F22" s="183"/>
      <c r="G22" s="183"/>
      <c r="H22" s="183"/>
      <c r="I22" s="183"/>
      <c r="J22" s="183"/>
    </row>
    <row r="23" spans="1:11" x14ac:dyDescent="0.25">
      <c r="A23" s="183"/>
      <c r="B23" s="184"/>
      <c r="C23" s="184"/>
      <c r="D23" s="183"/>
      <c r="E23" s="183"/>
      <c r="F23" s="183"/>
      <c r="G23" s="183"/>
      <c r="H23" s="183"/>
      <c r="I23" s="183"/>
      <c r="J23" s="183"/>
    </row>
    <row r="24" spans="1:11" x14ac:dyDescent="0.25">
      <c r="A24" s="183"/>
      <c r="B24" s="184"/>
      <c r="C24" s="184"/>
      <c r="D24" s="183"/>
      <c r="E24" s="183"/>
      <c r="F24" s="183"/>
      <c r="G24" s="183"/>
      <c r="H24" s="183"/>
      <c r="I24" s="183"/>
      <c r="J24" s="183"/>
    </row>
  </sheetData>
  <customSheetViews>
    <customSheetView guid="{3A7AD114-4D74-4E12-B483-5F1EDDDDB7E3}">
      <selection activeCell="H13" sqref="H13"/>
      <pageMargins left="0.7" right="0.7" top="0.75" bottom="0.75" header="0.3" footer="0.3"/>
      <pageSetup orientation="portrait"/>
    </customSheetView>
    <customSheetView guid="{19EB585C-0FBE-4704-A3C1-6BA57A72C50F}" scale="90">
      <selection activeCell="H18" sqref="H18"/>
      <pageMargins left="0.7" right="0.7" top="0.75" bottom="0.75" header="0.3" footer="0.3"/>
      <pageSetup orientation="portrait" r:id="rId1"/>
    </customSheetView>
  </customSheetViews>
  <mergeCells count="3">
    <mergeCell ref="A1:J1"/>
    <mergeCell ref="A14:J14"/>
    <mergeCell ref="A15:J15"/>
  </mergeCells>
  <pageMargins left="0.7" right="0.7" top="0.75" bottom="0.75" header="0.3" footer="0.3"/>
  <pageSetup scale="70" fitToHeight="0"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7"/>
  <sheetViews>
    <sheetView workbookViewId="0">
      <selection activeCell="C31" sqref="C31"/>
    </sheetView>
  </sheetViews>
  <sheetFormatPr defaultColWidth="8.85546875" defaultRowHeight="15" x14ac:dyDescent="0.25"/>
  <cols>
    <col min="1" max="1" width="42.42578125" customWidth="1"/>
    <col min="2" max="2" width="14.28515625" customWidth="1"/>
    <col min="3" max="3" width="14.28515625" bestFit="1" customWidth="1"/>
    <col min="4" max="4" width="14.28515625" customWidth="1"/>
    <col min="5" max="8" width="14.28515625" bestFit="1" customWidth="1"/>
    <col min="9" max="9" width="14.140625" customWidth="1"/>
  </cols>
  <sheetData>
    <row r="1" spans="1:10" ht="15" customHeight="1" x14ac:dyDescent="0.25">
      <c r="A1" s="377" t="s">
        <v>121</v>
      </c>
      <c r="B1" s="377"/>
      <c r="C1" s="377"/>
      <c r="D1" s="377"/>
      <c r="E1" s="377"/>
      <c r="F1" s="377"/>
      <c r="G1" s="377"/>
      <c r="H1" s="377"/>
      <c r="I1" s="377"/>
    </row>
    <row r="2" spans="1:10" ht="21" customHeight="1" x14ac:dyDescent="0.25">
      <c r="A2" s="377"/>
      <c r="B2" s="377"/>
      <c r="C2" s="377"/>
      <c r="D2" s="377"/>
      <c r="E2" s="377"/>
      <c r="F2" s="377"/>
      <c r="G2" s="377"/>
      <c r="H2" s="377"/>
      <c r="I2" s="377"/>
    </row>
    <row r="3" spans="1:10" ht="15.75" thickBot="1" x14ac:dyDescent="0.3">
      <c r="A3" s="2"/>
      <c r="B3" s="2"/>
    </row>
    <row r="4" spans="1:10" s="2" customFormat="1" x14ac:dyDescent="0.25">
      <c r="A4" s="52"/>
      <c r="B4" s="53" t="s">
        <v>59</v>
      </c>
      <c r="C4" s="54" t="s">
        <v>112</v>
      </c>
      <c r="D4" s="54" t="s">
        <v>60</v>
      </c>
      <c r="E4" s="55" t="s">
        <v>60</v>
      </c>
      <c r="F4" s="55" t="s">
        <v>60</v>
      </c>
      <c r="G4" s="55" t="s">
        <v>60</v>
      </c>
      <c r="H4" s="55" t="s">
        <v>60</v>
      </c>
      <c r="I4" s="39" t="s">
        <v>66</v>
      </c>
    </row>
    <row r="5" spans="1:10" s="2" customFormat="1" x14ac:dyDescent="0.25">
      <c r="A5" s="56"/>
      <c r="B5" s="57" t="s">
        <v>95</v>
      </c>
      <c r="C5" s="42" t="s">
        <v>130</v>
      </c>
      <c r="D5" s="42" t="s">
        <v>61</v>
      </c>
      <c r="E5" s="42" t="s">
        <v>62</v>
      </c>
      <c r="F5" s="42" t="s">
        <v>63</v>
      </c>
      <c r="G5" s="42" t="s">
        <v>64</v>
      </c>
      <c r="H5" s="42" t="s">
        <v>65</v>
      </c>
      <c r="I5" s="43" t="s">
        <v>67</v>
      </c>
    </row>
    <row r="6" spans="1:10" ht="15.75" thickBot="1" x14ac:dyDescent="0.3">
      <c r="A6" s="58" t="s">
        <v>58</v>
      </c>
      <c r="B6" s="59">
        <v>2017</v>
      </c>
      <c r="C6" s="60" t="s">
        <v>6</v>
      </c>
      <c r="D6" s="60" t="s">
        <v>7</v>
      </c>
      <c r="E6" s="60" t="s">
        <v>8</v>
      </c>
      <c r="F6" s="60" t="s">
        <v>108</v>
      </c>
      <c r="G6" s="60" t="s">
        <v>109</v>
      </c>
      <c r="H6" s="60" t="s">
        <v>111</v>
      </c>
      <c r="I6" s="61" t="s">
        <v>68</v>
      </c>
    </row>
    <row r="7" spans="1:10" x14ac:dyDescent="0.25">
      <c r="A7" s="187" t="s">
        <v>16</v>
      </c>
      <c r="B7" s="28"/>
      <c r="C7" s="28"/>
      <c r="D7" s="28"/>
      <c r="E7" s="28"/>
      <c r="F7" s="28"/>
      <c r="G7" s="28"/>
      <c r="H7" s="28"/>
      <c r="I7" s="62"/>
    </row>
    <row r="8" spans="1:10" x14ac:dyDescent="0.25">
      <c r="A8" s="63" t="s">
        <v>17</v>
      </c>
      <c r="B8" s="29">
        <v>72973680</v>
      </c>
      <c r="C8" s="366">
        <v>21665866</v>
      </c>
      <c r="D8" s="29">
        <v>22051200</v>
      </c>
      <c r="E8" s="29">
        <v>22271712</v>
      </c>
      <c r="F8" s="29">
        <v>22494429.120000001</v>
      </c>
      <c r="G8" s="29">
        <v>22719373.411200002</v>
      </c>
      <c r="H8" s="29">
        <v>22946567.145312004</v>
      </c>
      <c r="I8" s="64">
        <f>SUM(B8:D8)</f>
        <v>116690746</v>
      </c>
    </row>
    <row r="9" spans="1:10" x14ac:dyDescent="0.25">
      <c r="A9" s="63" t="s">
        <v>18</v>
      </c>
      <c r="B9" s="29">
        <v>554345</v>
      </c>
      <c r="C9" s="29">
        <v>590192</v>
      </c>
      <c r="D9" s="29">
        <v>400000</v>
      </c>
      <c r="E9" s="29">
        <v>416126.15512500005</v>
      </c>
      <c r="F9" s="29">
        <v>471823.19959834014</v>
      </c>
      <c r="G9" s="29">
        <v>504264.81429830036</v>
      </c>
      <c r="H9" s="29">
        <v>511546.03201124875</v>
      </c>
      <c r="I9" s="64">
        <f t="shared" ref="I9:I10" si="0">SUM(B9:D9)</f>
        <v>1544537</v>
      </c>
    </row>
    <row r="10" spans="1:10" x14ac:dyDescent="0.25">
      <c r="A10" s="63" t="s">
        <v>19</v>
      </c>
      <c r="B10" s="29">
        <v>350000</v>
      </c>
      <c r="C10" s="29">
        <v>360500</v>
      </c>
      <c r="D10" s="367">
        <v>371315</v>
      </c>
      <c r="E10" s="29">
        <v>882454</v>
      </c>
      <c r="F10" s="29">
        <v>1393928</v>
      </c>
      <c r="G10" s="29">
        <v>1905746</v>
      </c>
      <c r="H10" s="29">
        <v>2417918</v>
      </c>
      <c r="I10" s="64">
        <f t="shared" si="0"/>
        <v>1081815</v>
      </c>
    </row>
    <row r="11" spans="1:10" x14ac:dyDescent="0.25">
      <c r="A11" s="135" t="s">
        <v>375</v>
      </c>
      <c r="B11" s="29">
        <v>2081503</v>
      </c>
      <c r="C11" s="29">
        <v>852115</v>
      </c>
      <c r="D11" s="29">
        <v>770000</v>
      </c>
      <c r="E11" s="29">
        <v>700000</v>
      </c>
      <c r="F11" s="29">
        <v>700000</v>
      </c>
      <c r="G11" s="29">
        <v>700000</v>
      </c>
      <c r="H11" s="29">
        <v>700000</v>
      </c>
      <c r="I11" s="64">
        <f>SUM(B11:D11)</f>
        <v>3703618</v>
      </c>
    </row>
    <row r="12" spans="1:10" x14ac:dyDescent="0.25">
      <c r="A12" s="102" t="s">
        <v>677</v>
      </c>
      <c r="B12" s="31">
        <v>0</v>
      </c>
      <c r="C12" s="31">
        <v>656500</v>
      </c>
      <c r="D12" s="31">
        <v>1260000</v>
      </c>
      <c r="E12" s="31">
        <v>1285200</v>
      </c>
      <c r="F12" s="31">
        <v>1310904</v>
      </c>
      <c r="G12" s="31">
        <v>1337122</v>
      </c>
      <c r="H12" s="31">
        <v>1363865</v>
      </c>
      <c r="I12" s="64">
        <f>SUM(B12:D12)</f>
        <v>1916500</v>
      </c>
    </row>
    <row r="13" spans="1:10" x14ac:dyDescent="0.25">
      <c r="A13" s="63" t="s">
        <v>34</v>
      </c>
      <c r="B13" s="29">
        <f t="shared" ref="B13:I13" si="1">SUM(B8:B12)</f>
        <v>75959528</v>
      </c>
      <c r="C13" s="29">
        <f t="shared" si="1"/>
        <v>24125173</v>
      </c>
      <c r="D13" s="29">
        <f>SUM(D8:D12)</f>
        <v>24852515</v>
      </c>
      <c r="E13" s="29">
        <f t="shared" si="1"/>
        <v>25555492.155125</v>
      </c>
      <c r="F13" s="29">
        <f t="shared" si="1"/>
        <v>26371084.319598339</v>
      </c>
      <c r="G13" s="29">
        <f t="shared" si="1"/>
        <v>27166506.225498304</v>
      </c>
      <c r="H13" s="29">
        <f t="shared" si="1"/>
        <v>27939896.177323252</v>
      </c>
      <c r="I13" s="191">
        <f t="shared" si="1"/>
        <v>124937216</v>
      </c>
    </row>
    <row r="14" spans="1:10" x14ac:dyDescent="0.25">
      <c r="A14" s="188" t="s">
        <v>116</v>
      </c>
      <c r="B14" s="30"/>
      <c r="C14" s="30"/>
      <c r="D14" s="30"/>
      <c r="E14" s="30"/>
      <c r="F14" s="30"/>
      <c r="G14" s="30"/>
      <c r="H14" s="30"/>
      <c r="I14" s="62"/>
    </row>
    <row r="15" spans="1:10" x14ac:dyDescent="0.25">
      <c r="A15" s="63" t="s">
        <v>20</v>
      </c>
      <c r="B15" s="29"/>
      <c r="C15" s="29"/>
      <c r="D15" s="29"/>
      <c r="E15" s="29"/>
      <c r="F15" s="29"/>
      <c r="G15" s="29"/>
      <c r="H15" s="29"/>
      <c r="I15" s="64">
        <f>SUM(B15:D15)</f>
        <v>0</v>
      </c>
    </row>
    <row r="16" spans="1:10" x14ac:dyDescent="0.25">
      <c r="A16" s="63" t="s">
        <v>21</v>
      </c>
      <c r="B16" s="29">
        <v>2681915</v>
      </c>
      <c r="C16" s="29"/>
      <c r="D16" s="29"/>
      <c r="E16" s="29"/>
      <c r="F16" s="29"/>
      <c r="G16" s="29"/>
      <c r="H16" s="29"/>
      <c r="I16" s="64">
        <f t="shared" ref="I16:I18" si="2">SUM(B16:D16)</f>
        <v>2681915</v>
      </c>
      <c r="J16" t="s">
        <v>617</v>
      </c>
    </row>
    <row r="17" spans="1:9" x14ac:dyDescent="0.25">
      <c r="A17" s="63" t="s">
        <v>619</v>
      </c>
      <c r="B17" s="29">
        <v>47412000</v>
      </c>
      <c r="C17" s="29">
        <v>13008000</v>
      </c>
      <c r="D17" s="29">
        <v>30000000</v>
      </c>
      <c r="E17" s="29">
        <v>40000000</v>
      </c>
      <c r="F17" s="29">
        <v>42000000</v>
      </c>
      <c r="G17" s="29">
        <v>42000000</v>
      </c>
      <c r="H17" s="29">
        <v>42000000</v>
      </c>
      <c r="I17" s="64">
        <f t="shared" si="2"/>
        <v>90420000</v>
      </c>
    </row>
    <row r="18" spans="1:9" x14ac:dyDescent="0.25">
      <c r="A18" s="63" t="s">
        <v>22</v>
      </c>
      <c r="B18" s="29"/>
      <c r="C18" s="29"/>
      <c r="D18" s="29"/>
      <c r="E18" s="29"/>
      <c r="F18" s="29"/>
      <c r="G18" s="29"/>
      <c r="H18" s="29"/>
      <c r="I18" s="64">
        <f t="shared" si="2"/>
        <v>0</v>
      </c>
    </row>
    <row r="19" spans="1:9" x14ac:dyDescent="0.25">
      <c r="A19" s="66" t="s">
        <v>23</v>
      </c>
      <c r="B19" s="31"/>
      <c r="C19" s="31"/>
      <c r="D19" s="31"/>
      <c r="E19" s="31"/>
      <c r="F19" s="31"/>
      <c r="G19" s="31"/>
      <c r="H19" s="31"/>
      <c r="I19" s="64">
        <f>SUM(B19:D19)</f>
        <v>0</v>
      </c>
    </row>
    <row r="20" spans="1:9" x14ac:dyDescent="0.25">
      <c r="A20" s="63" t="s">
        <v>35</v>
      </c>
      <c r="B20" s="29">
        <f>SUM(B15:B19)</f>
        <v>50093915</v>
      </c>
      <c r="C20" s="29">
        <f t="shared" ref="C20:H20" si="3">SUM(C15:C19)</f>
        <v>13008000</v>
      </c>
      <c r="D20" s="29">
        <f t="shared" si="3"/>
        <v>30000000</v>
      </c>
      <c r="E20" s="29">
        <f t="shared" si="3"/>
        <v>40000000</v>
      </c>
      <c r="F20" s="29">
        <f t="shared" si="3"/>
        <v>42000000</v>
      </c>
      <c r="G20" s="29">
        <f t="shared" si="3"/>
        <v>42000000</v>
      </c>
      <c r="H20" s="29">
        <f t="shared" si="3"/>
        <v>42000000</v>
      </c>
      <c r="I20" s="191">
        <f>SUM(I15:I19)</f>
        <v>93101915</v>
      </c>
    </row>
    <row r="21" spans="1:9" x14ac:dyDescent="0.25">
      <c r="A21" s="188" t="s">
        <v>24</v>
      </c>
      <c r="B21" s="30"/>
      <c r="C21" s="30"/>
      <c r="D21" s="30"/>
      <c r="E21" s="30"/>
      <c r="F21" s="30"/>
      <c r="G21" s="30"/>
      <c r="H21" s="30"/>
      <c r="I21" s="62"/>
    </row>
    <row r="22" spans="1:9" x14ac:dyDescent="0.25">
      <c r="A22" s="65" t="s">
        <v>25</v>
      </c>
      <c r="B22" s="14">
        <f>650000+460000</f>
        <v>1110000</v>
      </c>
      <c r="C22" s="14">
        <f>800000+600000</f>
        <v>1400000</v>
      </c>
      <c r="D22" s="14">
        <f>600000+860650</f>
        <v>1460650</v>
      </c>
      <c r="E22" s="14">
        <f>600000+860650+841827+568230</f>
        <v>2870707</v>
      </c>
      <c r="F22" s="14">
        <f>841827+568230</f>
        <v>1410057</v>
      </c>
      <c r="G22" s="29">
        <v>1400000</v>
      </c>
      <c r="H22" s="29">
        <v>1400000</v>
      </c>
      <c r="I22" s="64">
        <f>SUM(B22:D22)</f>
        <v>3970650</v>
      </c>
    </row>
    <row r="23" spans="1:9" x14ac:dyDescent="0.25">
      <c r="A23" s="63" t="s">
        <v>26</v>
      </c>
      <c r="B23" s="29"/>
      <c r="C23" s="29"/>
      <c r="D23" s="29"/>
      <c r="E23" s="29"/>
      <c r="F23" s="29"/>
      <c r="G23" s="29"/>
      <c r="H23" s="29"/>
      <c r="I23" s="64">
        <f>SUM(B23:D23)</f>
        <v>0</v>
      </c>
    </row>
    <row r="24" spans="1:9" x14ac:dyDescent="0.25">
      <c r="A24" s="66" t="s">
        <v>27</v>
      </c>
      <c r="B24" s="31"/>
      <c r="C24" s="31"/>
      <c r="D24" s="31"/>
      <c r="E24" s="31"/>
      <c r="F24" s="31"/>
      <c r="G24" s="31"/>
      <c r="H24" s="31"/>
      <c r="I24" s="64">
        <f>SUM(B24:D24)</f>
        <v>0</v>
      </c>
    </row>
    <row r="25" spans="1:9" x14ac:dyDescent="0.25">
      <c r="A25" s="69" t="s">
        <v>37</v>
      </c>
      <c r="B25" s="70">
        <f>SUM(B22:B24)</f>
        <v>1110000</v>
      </c>
      <c r="C25" s="70">
        <f t="shared" ref="C25:H25" si="4">SUM(C22:C24)</f>
        <v>1400000</v>
      </c>
      <c r="D25" s="70">
        <f t="shared" si="4"/>
        <v>1460650</v>
      </c>
      <c r="E25" s="70">
        <f t="shared" si="4"/>
        <v>2870707</v>
      </c>
      <c r="F25" s="70">
        <f t="shared" si="4"/>
        <v>1410057</v>
      </c>
      <c r="G25" s="70">
        <f t="shared" si="4"/>
        <v>1400000</v>
      </c>
      <c r="H25" s="70">
        <f t="shared" si="4"/>
        <v>1400000</v>
      </c>
      <c r="I25" s="71">
        <f>SUM(I22:I24)</f>
        <v>3970650</v>
      </c>
    </row>
    <row r="26" spans="1:9" x14ac:dyDescent="0.25">
      <c r="A26" s="136" t="s">
        <v>28</v>
      </c>
      <c r="B26" s="137">
        <f>SUM(B13,B20,B25)</f>
        <v>127163443</v>
      </c>
      <c r="C26" s="137">
        <f t="shared" ref="C26:H26" si="5">SUM(C13,C20,C25)</f>
        <v>38533173</v>
      </c>
      <c r="D26" s="137">
        <f t="shared" si="5"/>
        <v>56313165</v>
      </c>
      <c r="E26" s="137">
        <f t="shared" si="5"/>
        <v>68426199.155124992</v>
      </c>
      <c r="F26" s="137">
        <f t="shared" si="5"/>
        <v>69781141.319598347</v>
      </c>
      <c r="G26" s="137">
        <f t="shared" si="5"/>
        <v>70566506.225498304</v>
      </c>
      <c r="H26" s="137">
        <f t="shared" si="5"/>
        <v>71339896.177323252</v>
      </c>
      <c r="I26" s="138">
        <f>SUM(B26:D26)</f>
        <v>222009781</v>
      </c>
    </row>
    <row r="27" spans="1:9" ht="15.75" thickBot="1" x14ac:dyDescent="0.3">
      <c r="A27" s="139" t="s">
        <v>55</v>
      </c>
      <c r="B27" s="140"/>
      <c r="C27" s="140"/>
      <c r="D27" s="140"/>
      <c r="E27" s="140"/>
      <c r="F27" s="140"/>
      <c r="G27" s="140"/>
      <c r="H27" s="140"/>
      <c r="I27" s="141"/>
    </row>
    <row r="28" spans="1:9" x14ac:dyDescent="0.25">
      <c r="A28" s="22"/>
      <c r="B28" s="22"/>
      <c r="C28" s="22"/>
      <c r="D28" s="22"/>
      <c r="E28" s="22"/>
      <c r="F28" s="22"/>
      <c r="G28" s="22"/>
      <c r="H28" s="51" t="s">
        <v>93</v>
      </c>
      <c r="I28" s="175">
        <f>(SUM('ISRP Cost 4-202.1(j)(1)(i)2'!B19:D19))/'Fund Sources 4-202.1(j)(1)(i)4'!I13</f>
        <v>0.70954681277674703</v>
      </c>
    </row>
    <row r="29" spans="1:9" x14ac:dyDescent="0.25">
      <c r="A29" s="22"/>
      <c r="B29" s="22"/>
      <c r="C29" s="22"/>
      <c r="D29" s="22"/>
      <c r="E29" s="22"/>
      <c r="F29" s="22"/>
      <c r="G29" s="22"/>
      <c r="H29" s="51" t="s">
        <v>94</v>
      </c>
      <c r="I29" s="68">
        <f>(SUM('ISRP Cost 4-202.1(j)(1)(i)2'!B20:D20))/'Fund Sources 4-202.1(j)(1)(i)4'!I26</f>
        <v>0.83873849418373148</v>
      </c>
    </row>
    <row r="30" spans="1:9" x14ac:dyDescent="0.25">
      <c r="A30" s="32" t="s">
        <v>29</v>
      </c>
      <c r="B30" s="22"/>
      <c r="C30" s="22"/>
      <c r="D30" s="22"/>
      <c r="E30" s="22"/>
      <c r="F30" s="22"/>
      <c r="G30" s="22"/>
      <c r="H30" s="22"/>
      <c r="I30" s="22"/>
    </row>
    <row r="31" spans="1:9" x14ac:dyDescent="0.25">
      <c r="A31" s="22"/>
      <c r="B31" s="22"/>
      <c r="C31" s="22"/>
      <c r="D31" s="169"/>
      <c r="E31" s="169"/>
      <c r="F31" s="169"/>
      <c r="G31" s="169"/>
      <c r="H31" s="169"/>
      <c r="I31" s="22"/>
    </row>
    <row r="32" spans="1:9" x14ac:dyDescent="0.25">
      <c r="A32" s="176"/>
      <c r="B32" s="168"/>
      <c r="C32" s="168"/>
      <c r="D32" s="168"/>
      <c r="E32" s="168"/>
      <c r="F32" s="168"/>
      <c r="G32" s="168"/>
      <c r="H32" s="168"/>
      <c r="I32" s="165"/>
    </row>
    <row r="33" spans="1:9" x14ac:dyDescent="0.25">
      <c r="A33" s="33" t="s">
        <v>15</v>
      </c>
      <c r="B33" s="22"/>
      <c r="C33" s="22"/>
      <c r="D33" s="22"/>
      <c r="E33" s="22"/>
      <c r="F33" s="22"/>
      <c r="G33" s="22"/>
      <c r="H33" s="22"/>
      <c r="I33" s="22"/>
    </row>
    <row r="34" spans="1:9" x14ac:dyDescent="0.25">
      <c r="A34" s="34" t="s">
        <v>124</v>
      </c>
      <c r="B34" s="22"/>
      <c r="C34" s="22"/>
      <c r="D34" s="22"/>
      <c r="E34" s="22"/>
      <c r="F34" s="22"/>
      <c r="G34" s="22"/>
      <c r="H34" s="22"/>
      <c r="I34" s="22"/>
    </row>
    <row r="35" spans="1:9" x14ac:dyDescent="0.25">
      <c r="A35" s="34"/>
      <c r="B35" s="22"/>
      <c r="C35" s="22"/>
      <c r="D35" s="22"/>
      <c r="E35" s="22"/>
      <c r="F35" s="22"/>
      <c r="G35" s="22"/>
      <c r="H35" s="22"/>
      <c r="I35" s="22"/>
    </row>
    <row r="36" spans="1:9" x14ac:dyDescent="0.25">
      <c r="A36" s="27"/>
      <c r="B36" s="22"/>
      <c r="C36" s="22"/>
      <c r="D36" s="22"/>
      <c r="E36" s="22"/>
      <c r="F36" s="22"/>
      <c r="G36" s="22"/>
      <c r="H36" s="22"/>
      <c r="I36" t="s">
        <v>127</v>
      </c>
    </row>
    <row r="37" spans="1:9" x14ac:dyDescent="0.25">
      <c r="A37" s="27"/>
      <c r="B37" s="22"/>
      <c r="C37" s="22"/>
      <c r="D37" s="22"/>
      <c r="E37" s="22"/>
      <c r="F37" s="22"/>
      <c r="G37" s="22"/>
      <c r="H37" s="22"/>
      <c r="I37" s="22"/>
    </row>
  </sheetData>
  <customSheetViews>
    <customSheetView guid="{3A7AD114-4D74-4E12-B483-5F1EDDDDB7E3}">
      <selection activeCell="I29" sqref="I29"/>
      <pageMargins left="0.7" right="0.7" top="0.75" bottom="0.75" header="0.3" footer="0.3"/>
      <pageSetup orientation="portrait"/>
    </customSheetView>
    <customSheetView guid="{19EB585C-0FBE-4704-A3C1-6BA57A72C50F}">
      <selection activeCell="K41" sqref="K41"/>
      <pageMargins left="0.7" right="0.7" top="0.75" bottom="0.75" header="0.3" footer="0.3"/>
      <pageSetup orientation="portrait"/>
    </customSheetView>
  </customSheetViews>
  <mergeCells count="1">
    <mergeCell ref="A1:I2"/>
  </mergeCells>
  <pageMargins left="0.7" right="0.7" top="0.75" bottom="0.75" header="0.3" footer="0.3"/>
  <pageSetup scale="66" fitToHeight="0" orientation="landscape" r:id="rId1"/>
  <ignoredErrors>
    <ignoredError sqref="B20:H20 B13:I13 B25:H25" unlockedFormula="1"/>
    <ignoredError sqref="I8:I11 I17:I19 I21 I23:I24" formulaRange="1"/>
    <ignoredError sqref="I20" formulaRange="1" unlockedFormula="1"/>
    <ignoredError sqref="I25" formula="1" formulaRange="1"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1"/>
  <sheetViews>
    <sheetView workbookViewId="0">
      <selection activeCell="D19" sqref="D19"/>
    </sheetView>
  </sheetViews>
  <sheetFormatPr defaultColWidth="8.85546875" defaultRowHeight="15" x14ac:dyDescent="0.25"/>
  <cols>
    <col min="1" max="1" width="21.7109375" style="22" customWidth="1"/>
    <col min="2" max="2" width="9.28515625" style="22" customWidth="1"/>
    <col min="3" max="3" width="4.28515625" style="22" customWidth="1"/>
    <col min="4" max="4" width="8.28515625" style="22" customWidth="1"/>
    <col min="5" max="5" width="12" style="22" customWidth="1"/>
    <col min="6" max="6" width="16.42578125" style="22" customWidth="1"/>
    <col min="7" max="8" width="15.42578125" customWidth="1"/>
    <col min="9" max="9" width="19" customWidth="1"/>
    <col min="10" max="10" width="19.7109375" customWidth="1"/>
    <col min="11" max="11" width="13.85546875" bestFit="1" customWidth="1"/>
    <col min="12" max="12" width="11.5703125" bestFit="1" customWidth="1"/>
    <col min="14" max="14" width="68" customWidth="1"/>
    <col min="15" max="15" width="13.7109375" customWidth="1"/>
    <col min="16" max="16" width="13" customWidth="1"/>
    <col min="17" max="17" width="12.140625" customWidth="1"/>
    <col min="18" max="18" width="11.5703125" customWidth="1"/>
    <col min="19" max="19" width="13.28515625" customWidth="1"/>
  </cols>
  <sheetData>
    <row r="1" spans="1:14" ht="15" customHeight="1" x14ac:dyDescent="0.25">
      <c r="A1" s="378" t="s">
        <v>122</v>
      </c>
      <c r="B1" s="378"/>
      <c r="C1" s="378"/>
      <c r="D1" s="378"/>
      <c r="E1" s="378"/>
      <c r="F1" s="378"/>
      <c r="G1" s="378"/>
      <c r="H1" s="378"/>
      <c r="I1" s="378"/>
      <c r="J1" s="378"/>
    </row>
    <row r="2" spans="1:14" x14ac:dyDescent="0.25">
      <c r="A2" s="378"/>
      <c r="B2" s="378"/>
      <c r="C2" s="378"/>
      <c r="D2" s="378"/>
      <c r="E2" s="378"/>
      <c r="F2" s="378"/>
      <c r="G2" s="378"/>
      <c r="H2" s="378"/>
      <c r="I2" s="378"/>
      <c r="J2" s="378"/>
    </row>
    <row r="4" spans="1:14" x14ac:dyDescent="0.25">
      <c r="A4" s="9" t="s">
        <v>92</v>
      </c>
      <c r="B4" s="157">
        <f>'MS4 Information'!B10</f>
        <v>24981</v>
      </c>
      <c r="I4" s="11" t="s">
        <v>0</v>
      </c>
      <c r="J4" s="74">
        <v>0.2</v>
      </c>
    </row>
    <row r="5" spans="1:14" ht="15.75" thickBot="1" x14ac:dyDescent="0.3">
      <c r="E5" s="16"/>
      <c r="F5" s="16"/>
    </row>
    <row r="6" spans="1:14" s="8" customFormat="1" ht="60" x14ac:dyDescent="0.25">
      <c r="A6" s="189" t="s">
        <v>38</v>
      </c>
      <c r="B6" s="104" t="s">
        <v>1</v>
      </c>
      <c r="C6" s="104" t="s">
        <v>2</v>
      </c>
      <c r="D6" s="104" t="s">
        <v>39</v>
      </c>
      <c r="E6" s="104" t="s">
        <v>3</v>
      </c>
      <c r="F6" s="104" t="s">
        <v>40</v>
      </c>
      <c r="G6" s="104" t="s">
        <v>41</v>
      </c>
      <c r="H6" s="104" t="s">
        <v>43</v>
      </c>
      <c r="I6" s="104" t="s">
        <v>42</v>
      </c>
      <c r="J6" s="190" t="s">
        <v>57</v>
      </c>
    </row>
    <row r="7" spans="1:14" s="8" customFormat="1" x14ac:dyDescent="0.25">
      <c r="A7" s="97" t="s">
        <v>118</v>
      </c>
      <c r="B7" s="85"/>
      <c r="C7" s="86"/>
      <c r="D7" s="86"/>
      <c r="E7" s="86"/>
      <c r="F7" s="86"/>
      <c r="G7" s="86"/>
      <c r="H7" s="86"/>
      <c r="I7" s="85"/>
      <c r="J7" s="98"/>
    </row>
    <row r="8" spans="1:14" x14ac:dyDescent="0.25">
      <c r="A8" s="91" t="s">
        <v>308</v>
      </c>
      <c r="B8" s="92" t="s">
        <v>308</v>
      </c>
      <c r="C8" s="92" t="s">
        <v>307</v>
      </c>
      <c r="D8" s="92">
        <v>275</v>
      </c>
      <c r="E8" s="92">
        <v>0.55000000000000004</v>
      </c>
      <c r="F8" s="107">
        <v>41820</v>
      </c>
      <c r="G8" s="305">
        <v>41808</v>
      </c>
      <c r="H8" s="90">
        <f t="shared" ref="H8:H18" si="0">E8/$B$4</f>
        <v>2.201673271686482E-5</v>
      </c>
      <c r="I8" s="105" t="s">
        <v>165</v>
      </c>
      <c r="J8" s="106" t="s">
        <v>479</v>
      </c>
      <c r="N8" s="27"/>
    </row>
    <row r="9" spans="1:14" s="8" customFormat="1" ht="15.75" customHeight="1" x14ac:dyDescent="0.25">
      <c r="A9" s="120" t="s">
        <v>308</v>
      </c>
      <c r="B9" s="89" t="s">
        <v>308</v>
      </c>
      <c r="C9" s="89" t="s">
        <v>307</v>
      </c>
      <c r="D9" s="87">
        <v>2895</v>
      </c>
      <c r="E9" s="300">
        <v>14.04</v>
      </c>
      <c r="F9" s="107">
        <v>42185</v>
      </c>
      <c r="G9" s="26">
        <v>167914</v>
      </c>
      <c r="H9" s="90">
        <f t="shared" si="0"/>
        <v>5.6202714062687635E-4</v>
      </c>
      <c r="I9" s="88" t="s">
        <v>165</v>
      </c>
      <c r="J9" s="100" t="s">
        <v>478</v>
      </c>
      <c r="K9" s="301"/>
      <c r="N9" s="27"/>
    </row>
    <row r="10" spans="1:14" s="8" customFormat="1" ht="15.75" customHeight="1" x14ac:dyDescent="0.25">
      <c r="A10" s="120" t="s">
        <v>308</v>
      </c>
      <c r="B10" s="89" t="s">
        <v>308</v>
      </c>
      <c r="C10" s="89" t="s">
        <v>307</v>
      </c>
      <c r="D10" s="87">
        <v>4908</v>
      </c>
      <c r="E10" s="300">
        <v>122.68</v>
      </c>
      <c r="F10" s="107">
        <v>42551</v>
      </c>
      <c r="G10" s="26">
        <v>310000</v>
      </c>
      <c r="H10" s="90">
        <f t="shared" si="0"/>
        <v>4.9109323085545021E-3</v>
      </c>
      <c r="I10" s="88" t="s">
        <v>165</v>
      </c>
      <c r="J10" s="100" t="s">
        <v>309</v>
      </c>
      <c r="K10" s="301"/>
    </row>
    <row r="11" spans="1:14" s="8" customFormat="1" ht="15.75" customHeight="1" x14ac:dyDescent="0.25">
      <c r="A11" s="120" t="s">
        <v>308</v>
      </c>
      <c r="B11" s="89" t="s">
        <v>308</v>
      </c>
      <c r="C11" s="89" t="s">
        <v>307</v>
      </c>
      <c r="D11" s="129">
        <v>7128.16</v>
      </c>
      <c r="E11" s="300">
        <v>239.81</v>
      </c>
      <c r="F11" s="107">
        <v>42916</v>
      </c>
      <c r="G11" s="26">
        <v>437012.8</v>
      </c>
      <c r="H11" s="90">
        <f t="shared" si="0"/>
        <v>9.5996957687842759E-3</v>
      </c>
      <c r="I11" s="88" t="s">
        <v>165</v>
      </c>
      <c r="J11" s="100" t="s">
        <v>310</v>
      </c>
    </row>
    <row r="12" spans="1:14" s="8" customFormat="1" ht="15.75" customHeight="1" x14ac:dyDescent="0.25">
      <c r="A12" s="120" t="s">
        <v>308</v>
      </c>
      <c r="B12" s="112" t="s">
        <v>308</v>
      </c>
      <c r="C12" s="89" t="s">
        <v>307</v>
      </c>
      <c r="D12" s="129">
        <v>6779.19</v>
      </c>
      <c r="E12" s="300">
        <v>144.32000000000002</v>
      </c>
      <c r="F12" s="107">
        <v>43281</v>
      </c>
      <c r="G12" s="26">
        <v>275515</v>
      </c>
      <c r="H12" s="90">
        <f t="shared" si="0"/>
        <v>5.7771906649053293E-3</v>
      </c>
      <c r="I12" s="88" t="s">
        <v>165</v>
      </c>
      <c r="J12" s="100" t="s">
        <v>311</v>
      </c>
    </row>
    <row r="13" spans="1:14" s="8" customFormat="1" ht="15.75" customHeight="1" x14ac:dyDescent="0.25">
      <c r="A13" s="120" t="s">
        <v>376</v>
      </c>
      <c r="B13" s="112" t="s">
        <v>376</v>
      </c>
      <c r="C13" s="89" t="s">
        <v>307</v>
      </c>
      <c r="D13" s="129"/>
      <c r="E13" s="89">
        <v>0</v>
      </c>
      <c r="F13" s="107">
        <v>42551</v>
      </c>
      <c r="G13" s="26">
        <v>474498.89</v>
      </c>
      <c r="H13" s="90">
        <f t="shared" si="0"/>
        <v>0</v>
      </c>
      <c r="I13" s="88" t="s">
        <v>165</v>
      </c>
      <c r="J13" s="100" t="s">
        <v>309</v>
      </c>
      <c r="K13" s="301"/>
    </row>
    <row r="14" spans="1:14" s="8" customFormat="1" ht="15.75" customHeight="1" x14ac:dyDescent="0.25">
      <c r="A14" s="120" t="s">
        <v>376</v>
      </c>
      <c r="B14" s="112" t="s">
        <v>376</v>
      </c>
      <c r="C14" s="89" t="s">
        <v>307</v>
      </c>
      <c r="D14" s="129"/>
      <c r="E14" s="300">
        <v>96.47</v>
      </c>
      <c r="F14" s="107">
        <v>42916</v>
      </c>
      <c r="G14" s="26">
        <v>616197.39999999991</v>
      </c>
      <c r="H14" s="90">
        <f t="shared" si="0"/>
        <v>3.8617349185380888E-3</v>
      </c>
      <c r="I14" s="88" t="s">
        <v>165</v>
      </c>
      <c r="J14" s="100" t="s">
        <v>310</v>
      </c>
    </row>
    <row r="15" spans="1:14" s="8" customFormat="1" ht="15.75" customHeight="1" x14ac:dyDescent="0.25">
      <c r="A15" s="118" t="s">
        <v>376</v>
      </c>
      <c r="B15" s="89" t="s">
        <v>376</v>
      </c>
      <c r="C15" s="89" t="s">
        <v>307</v>
      </c>
      <c r="D15" s="129"/>
      <c r="E15" s="300">
        <v>43.13</v>
      </c>
      <c r="F15" s="107">
        <v>43281</v>
      </c>
      <c r="G15" s="26">
        <v>597049</v>
      </c>
      <c r="H15" s="90">
        <f t="shared" si="0"/>
        <v>1.7265121492334174E-3</v>
      </c>
      <c r="I15" s="88" t="s">
        <v>165</v>
      </c>
      <c r="J15" s="100" t="s">
        <v>311</v>
      </c>
    </row>
    <row r="16" spans="1:14" s="8" customFormat="1" ht="15.75" customHeight="1" x14ac:dyDescent="0.25">
      <c r="A16" s="118" t="s">
        <v>477</v>
      </c>
      <c r="B16" s="89" t="s">
        <v>477</v>
      </c>
      <c r="C16" s="89" t="s">
        <v>307</v>
      </c>
      <c r="D16" s="129"/>
      <c r="E16" s="89">
        <v>153.80000000000001</v>
      </c>
      <c r="F16" s="107">
        <v>42551</v>
      </c>
      <c r="G16" s="26">
        <v>0</v>
      </c>
      <c r="H16" s="90">
        <f t="shared" si="0"/>
        <v>6.1566790760978346E-3</v>
      </c>
      <c r="I16" s="88" t="s">
        <v>165</v>
      </c>
      <c r="J16" s="100" t="s">
        <v>309</v>
      </c>
    </row>
    <row r="17" spans="1:19" s="8" customFormat="1" ht="15.75" customHeight="1" x14ac:dyDescent="0.25">
      <c r="A17" s="303" t="s">
        <v>477</v>
      </c>
      <c r="B17" s="89" t="s">
        <v>477</v>
      </c>
      <c r="C17" s="89" t="s">
        <v>307</v>
      </c>
      <c r="D17" s="87"/>
      <c r="E17" s="89">
        <v>171.51</v>
      </c>
      <c r="F17" s="107">
        <v>42916</v>
      </c>
      <c r="G17" s="26">
        <v>0</v>
      </c>
      <c r="H17" s="90">
        <f t="shared" si="0"/>
        <v>6.8656178695808813E-3</v>
      </c>
      <c r="I17" s="88" t="s">
        <v>165</v>
      </c>
      <c r="J17" s="100" t="s">
        <v>310</v>
      </c>
      <c r="K17" s="162"/>
    </row>
    <row r="18" spans="1:19" s="8" customFormat="1" ht="15.75" customHeight="1" thickBot="1" x14ac:dyDescent="0.3">
      <c r="A18" s="304" t="s">
        <v>477</v>
      </c>
      <c r="B18" s="246" t="s">
        <v>477</v>
      </c>
      <c r="C18" s="246" t="s">
        <v>307</v>
      </c>
      <c r="D18" s="247"/>
      <c r="E18" s="246">
        <v>233.99</v>
      </c>
      <c r="F18" s="248">
        <v>43281</v>
      </c>
      <c r="G18" s="249">
        <v>0</v>
      </c>
      <c r="H18" s="90">
        <f t="shared" si="0"/>
        <v>9.3667187062167253E-3</v>
      </c>
      <c r="I18" s="245" t="s">
        <v>165</v>
      </c>
      <c r="J18" s="250" t="s">
        <v>311</v>
      </c>
      <c r="K18" s="162"/>
    </row>
    <row r="19" spans="1:19" s="8" customFormat="1" ht="30" customHeight="1" thickBot="1" x14ac:dyDescent="0.3">
      <c r="A19" s="251" t="s">
        <v>97</v>
      </c>
      <c r="B19" s="252"/>
      <c r="C19" s="253"/>
      <c r="D19" s="254">
        <f>SUM(D10:D18)</f>
        <v>18815.349999999999</v>
      </c>
      <c r="E19" s="327">
        <f>AVERAGE(E10:E12)+AVERAGE(E14:E15)+AVERAGE(E16:E18)</f>
        <v>425.16999999999996</v>
      </c>
      <c r="F19" s="255"/>
      <c r="G19" s="256">
        <f>SUM(G10:G12,G14:G18)</f>
        <v>2235774.2000000002</v>
      </c>
      <c r="H19" s="325">
        <f>AVERAGE(H10:H12)+AVERAGE(H14:H15)+AVERAGE(H16:H18)</f>
        <v>1.7019734998598934E-2</v>
      </c>
      <c r="I19" s="252"/>
      <c r="J19" s="258"/>
      <c r="K19" s="301"/>
      <c r="N19" s="317"/>
      <c r="O19" s="317"/>
      <c r="P19" s="317"/>
      <c r="R19" s="317"/>
      <c r="S19" s="317"/>
    </row>
    <row r="20" spans="1:19" s="8" customFormat="1" ht="15.75" customHeight="1" x14ac:dyDescent="0.25">
      <c r="A20" s="259" t="s">
        <v>4</v>
      </c>
      <c r="B20" s="260"/>
      <c r="C20" s="260"/>
      <c r="D20" s="260"/>
      <c r="E20" s="260"/>
      <c r="F20" s="260"/>
      <c r="G20" s="260"/>
      <c r="H20" s="260"/>
      <c r="I20" s="260"/>
      <c r="J20" s="261"/>
      <c r="R20" s="301"/>
      <c r="S20" s="328"/>
    </row>
    <row r="21" spans="1:19" ht="15.75" customHeight="1" x14ac:dyDescent="0.25">
      <c r="A21" s="323" t="s">
        <v>242</v>
      </c>
      <c r="B21" s="215" t="s">
        <v>257</v>
      </c>
      <c r="C21" s="262" t="s">
        <v>627</v>
      </c>
      <c r="D21" s="262">
        <v>1</v>
      </c>
      <c r="E21" s="296">
        <v>0.8175103662750518</v>
      </c>
      <c r="F21" s="263">
        <v>42614</v>
      </c>
      <c r="G21" s="249">
        <v>0</v>
      </c>
      <c r="H21" s="293">
        <f t="shared" ref="H21:H84" si="1">E21/$B$4</f>
        <v>3.2725285868261953E-5</v>
      </c>
      <c r="I21" s="91" t="s">
        <v>165</v>
      </c>
      <c r="J21" s="264" t="s">
        <v>348</v>
      </c>
    </row>
    <row r="22" spans="1:19" ht="15.75" customHeight="1" x14ac:dyDescent="0.25">
      <c r="A22" s="323" t="s">
        <v>243</v>
      </c>
      <c r="B22" s="215" t="s">
        <v>257</v>
      </c>
      <c r="C22" s="262" t="s">
        <v>627</v>
      </c>
      <c r="D22" s="262">
        <v>1</v>
      </c>
      <c r="E22" s="296">
        <v>0.32738719832109137</v>
      </c>
      <c r="F22" s="263">
        <v>42614</v>
      </c>
      <c r="G22" s="249">
        <v>0</v>
      </c>
      <c r="H22" s="293">
        <f t="shared" si="1"/>
        <v>1.3105448073379423E-5</v>
      </c>
      <c r="I22" s="91" t="s">
        <v>165</v>
      </c>
      <c r="J22" s="264" t="s">
        <v>349</v>
      </c>
    </row>
    <row r="23" spans="1:19" ht="15.75" customHeight="1" x14ac:dyDescent="0.25">
      <c r="A23" s="323" t="s">
        <v>244</v>
      </c>
      <c r="B23" s="215" t="s">
        <v>257</v>
      </c>
      <c r="C23" s="262" t="s">
        <v>627</v>
      </c>
      <c r="D23" s="262">
        <v>1</v>
      </c>
      <c r="E23" s="296">
        <v>1.5199913457377756</v>
      </c>
      <c r="F23" s="263">
        <v>42614</v>
      </c>
      <c r="G23" s="249">
        <v>0</v>
      </c>
      <c r="H23" s="293">
        <f t="shared" si="1"/>
        <v>6.0845896711011391E-5</v>
      </c>
      <c r="I23" s="91" t="s">
        <v>165</v>
      </c>
      <c r="J23" s="264" t="s">
        <v>350</v>
      </c>
    </row>
    <row r="24" spans="1:19" ht="15.75" customHeight="1" x14ac:dyDescent="0.25">
      <c r="A24" s="323" t="s">
        <v>245</v>
      </c>
      <c r="B24" s="215" t="s">
        <v>257</v>
      </c>
      <c r="C24" s="262" t="s">
        <v>627</v>
      </c>
      <c r="D24" s="262">
        <v>1</v>
      </c>
      <c r="E24" s="296">
        <v>1.2614019904803115</v>
      </c>
      <c r="F24" s="263">
        <v>42614</v>
      </c>
      <c r="G24" s="249">
        <v>0</v>
      </c>
      <c r="H24" s="293">
        <f t="shared" si="1"/>
        <v>5.0494455405320504E-5</v>
      </c>
      <c r="I24" s="91" t="s">
        <v>165</v>
      </c>
      <c r="J24" s="264" t="s">
        <v>351</v>
      </c>
    </row>
    <row r="25" spans="1:19" ht="15.75" customHeight="1" x14ac:dyDescent="0.25">
      <c r="A25" s="323" t="s">
        <v>246</v>
      </c>
      <c r="B25" s="215" t="s">
        <v>257</v>
      </c>
      <c r="C25" s="262" t="s">
        <v>627</v>
      </c>
      <c r="D25" s="262">
        <v>1</v>
      </c>
      <c r="E25" s="296">
        <v>1.3829615384615384</v>
      </c>
      <c r="F25" s="263">
        <v>42614</v>
      </c>
      <c r="G25" s="249">
        <v>0</v>
      </c>
      <c r="H25" s="293">
        <f t="shared" si="1"/>
        <v>5.5360535545476094E-5</v>
      </c>
      <c r="I25" s="91" t="s">
        <v>165</v>
      </c>
      <c r="J25" s="264" t="s">
        <v>352</v>
      </c>
      <c r="N25" s="309"/>
      <c r="O25" s="148"/>
    </row>
    <row r="26" spans="1:19" ht="15.75" customHeight="1" x14ac:dyDescent="0.25">
      <c r="A26" s="244" t="s">
        <v>195</v>
      </c>
      <c r="B26" s="215" t="s">
        <v>216</v>
      </c>
      <c r="C26" s="262" t="s">
        <v>628</v>
      </c>
      <c r="D26" s="262">
        <v>1</v>
      </c>
      <c r="E26" s="296">
        <v>2.5309396522723868</v>
      </c>
      <c r="F26" s="263">
        <v>42479</v>
      </c>
      <c r="G26" s="239">
        <v>322447.53000000003</v>
      </c>
      <c r="H26" s="293">
        <f t="shared" si="1"/>
        <v>1.0131458517562895E-4</v>
      </c>
      <c r="I26" s="91" t="s">
        <v>165</v>
      </c>
      <c r="J26" s="264" t="s">
        <v>316</v>
      </c>
      <c r="N26" s="340"/>
    </row>
    <row r="27" spans="1:19" ht="15.75" customHeight="1" x14ac:dyDescent="0.25">
      <c r="A27" s="244" t="s">
        <v>203</v>
      </c>
      <c r="B27" s="215" t="s">
        <v>216</v>
      </c>
      <c r="C27" s="262" t="s">
        <v>628</v>
      </c>
      <c r="D27" s="262">
        <v>1</v>
      </c>
      <c r="E27" s="296">
        <v>0.17939914163090126</v>
      </c>
      <c r="F27" s="263">
        <v>42297</v>
      </c>
      <c r="G27" s="249">
        <v>134476.81</v>
      </c>
      <c r="H27" s="293">
        <f t="shared" si="1"/>
        <v>7.1814235471318707E-6</v>
      </c>
      <c r="I27" s="91" t="s">
        <v>165</v>
      </c>
      <c r="J27" s="264" t="s">
        <v>324</v>
      </c>
    </row>
    <row r="28" spans="1:19" ht="15.75" customHeight="1" x14ac:dyDescent="0.25">
      <c r="A28" s="244" t="s">
        <v>208</v>
      </c>
      <c r="B28" s="215" t="s">
        <v>216</v>
      </c>
      <c r="C28" s="262" t="s">
        <v>628</v>
      </c>
      <c r="D28" s="262">
        <v>1</v>
      </c>
      <c r="E28" s="296">
        <v>0.57854304635761589</v>
      </c>
      <c r="F28" s="263">
        <v>42339</v>
      </c>
      <c r="G28" s="249">
        <v>77406</v>
      </c>
      <c r="H28" s="293">
        <f t="shared" si="1"/>
        <v>2.3159322939738837E-5</v>
      </c>
      <c r="I28" s="91" t="s">
        <v>165</v>
      </c>
      <c r="J28" s="264" t="s">
        <v>327</v>
      </c>
    </row>
    <row r="29" spans="1:19" ht="15.75" customHeight="1" x14ac:dyDescent="0.25">
      <c r="A29" s="244" t="s">
        <v>209</v>
      </c>
      <c r="B29" s="215" t="s">
        <v>216</v>
      </c>
      <c r="C29" s="262" t="s">
        <v>628</v>
      </c>
      <c r="D29" s="262">
        <v>1</v>
      </c>
      <c r="E29" s="296">
        <v>0.4570588235294118</v>
      </c>
      <c r="F29" s="263">
        <v>42339</v>
      </c>
      <c r="G29" s="249">
        <v>0</v>
      </c>
      <c r="H29" s="293">
        <f t="shared" si="1"/>
        <v>1.8296258097330443E-5</v>
      </c>
      <c r="I29" s="91" t="s">
        <v>165</v>
      </c>
      <c r="J29" s="264" t="s">
        <v>328</v>
      </c>
    </row>
    <row r="30" spans="1:19" ht="15.75" customHeight="1" x14ac:dyDescent="0.25">
      <c r="A30" s="244" t="s">
        <v>232</v>
      </c>
      <c r="B30" s="215" t="s">
        <v>216</v>
      </c>
      <c r="C30" s="262" t="s">
        <v>628</v>
      </c>
      <c r="D30" s="262">
        <v>1</v>
      </c>
      <c r="E30" s="296">
        <v>0.2369412902702831</v>
      </c>
      <c r="F30" s="263">
        <v>42695</v>
      </c>
      <c r="G30" s="249">
        <v>161026.37</v>
      </c>
      <c r="H30" s="293">
        <f t="shared" si="1"/>
        <v>9.4848601044907367E-6</v>
      </c>
      <c r="I30" s="91" t="s">
        <v>165</v>
      </c>
      <c r="J30" s="264" t="s">
        <v>338</v>
      </c>
    </row>
    <row r="31" spans="1:19" ht="15.75" customHeight="1" x14ac:dyDescent="0.25">
      <c r="A31" s="244" t="s">
        <v>235</v>
      </c>
      <c r="B31" s="215" t="s">
        <v>216</v>
      </c>
      <c r="C31" s="262" t="s">
        <v>628</v>
      </c>
      <c r="D31" s="262">
        <v>1</v>
      </c>
      <c r="E31" s="296">
        <v>0.45936678216197541</v>
      </c>
      <c r="F31" s="263">
        <v>40940</v>
      </c>
      <c r="G31" s="249">
        <v>72585.240000000005</v>
      </c>
      <c r="H31" s="293">
        <f t="shared" si="1"/>
        <v>1.838864665793905E-5</v>
      </c>
      <c r="I31" s="91" t="s">
        <v>165</v>
      </c>
      <c r="J31" s="264" t="s">
        <v>340</v>
      </c>
    </row>
    <row r="32" spans="1:19" ht="15.75" customHeight="1" x14ac:dyDescent="0.25">
      <c r="A32" s="244" t="s">
        <v>236</v>
      </c>
      <c r="B32" s="215" t="s">
        <v>216</v>
      </c>
      <c r="C32" s="262" t="s">
        <v>628</v>
      </c>
      <c r="D32" s="262">
        <v>1</v>
      </c>
      <c r="E32" s="296">
        <v>3.7766497461928927</v>
      </c>
      <c r="F32" s="263">
        <v>40940</v>
      </c>
      <c r="G32" s="249">
        <v>72585.240000000005</v>
      </c>
      <c r="H32" s="293">
        <f t="shared" si="1"/>
        <v>1.511808873220805E-4</v>
      </c>
      <c r="I32" s="91" t="s">
        <v>165</v>
      </c>
      <c r="J32" s="264" t="s">
        <v>341</v>
      </c>
    </row>
    <row r="33" spans="1:15" ht="15.75" customHeight="1" x14ac:dyDescent="0.25">
      <c r="A33" s="244" t="s">
        <v>259</v>
      </c>
      <c r="B33" s="215" t="s">
        <v>216</v>
      </c>
      <c r="C33" s="262" t="s">
        <v>628</v>
      </c>
      <c r="D33" s="262">
        <v>1</v>
      </c>
      <c r="E33" s="296">
        <v>0.95658803866082376</v>
      </c>
      <c r="F33" s="263">
        <v>43221</v>
      </c>
      <c r="G33" s="249">
        <v>377100</v>
      </c>
      <c r="H33" s="293">
        <f t="shared" si="1"/>
        <v>3.8292623940627828E-5</v>
      </c>
      <c r="I33" s="91" t="s">
        <v>165</v>
      </c>
      <c r="J33" s="264" t="s">
        <v>266</v>
      </c>
    </row>
    <row r="34" spans="1:15" ht="15.75" customHeight="1" x14ac:dyDescent="0.25">
      <c r="A34" s="244" t="s">
        <v>371</v>
      </c>
      <c r="B34" s="215" t="s">
        <v>216</v>
      </c>
      <c r="C34" s="262" t="s">
        <v>628</v>
      </c>
      <c r="D34" s="262">
        <v>1</v>
      </c>
      <c r="E34" s="296">
        <v>0.26603656179015028</v>
      </c>
      <c r="F34" s="335">
        <v>42856</v>
      </c>
      <c r="G34" s="249">
        <v>0</v>
      </c>
      <c r="H34" s="293">
        <f t="shared" si="1"/>
        <v>1.0649556134268055E-5</v>
      </c>
      <c r="I34" s="91" t="s">
        <v>165</v>
      </c>
      <c r="J34" s="264" t="s">
        <v>267</v>
      </c>
    </row>
    <row r="35" spans="1:15" ht="15.75" customHeight="1" x14ac:dyDescent="0.25">
      <c r="A35" s="244" t="s">
        <v>262</v>
      </c>
      <c r="B35" s="215" t="s">
        <v>216</v>
      </c>
      <c r="C35" s="262" t="s">
        <v>628</v>
      </c>
      <c r="D35" s="262">
        <v>1</v>
      </c>
      <c r="E35" s="296">
        <v>6.5744265948556035E-2</v>
      </c>
      <c r="F35" s="335">
        <v>42461</v>
      </c>
      <c r="G35" s="249">
        <v>0</v>
      </c>
      <c r="H35" s="293">
        <f t="shared" si="1"/>
        <v>2.6317707837378821E-6</v>
      </c>
      <c r="I35" s="91" t="s">
        <v>165</v>
      </c>
      <c r="J35" s="264" t="s">
        <v>271</v>
      </c>
    </row>
    <row r="36" spans="1:15" ht="15.75" customHeight="1" x14ac:dyDescent="0.25">
      <c r="A36" s="244" t="s">
        <v>263</v>
      </c>
      <c r="B36" s="215" t="s">
        <v>216</v>
      </c>
      <c r="C36" s="262" t="s">
        <v>628</v>
      </c>
      <c r="D36" s="262">
        <v>1</v>
      </c>
      <c r="E36" s="296">
        <v>0.1270936394462957</v>
      </c>
      <c r="F36" s="335">
        <v>42461</v>
      </c>
      <c r="G36" s="249">
        <v>0</v>
      </c>
      <c r="H36" s="293">
        <f t="shared" si="1"/>
        <v>5.0876121630957812E-6</v>
      </c>
      <c r="I36" s="91" t="s">
        <v>165</v>
      </c>
      <c r="J36" s="264" t="s">
        <v>272</v>
      </c>
      <c r="O36" s="310"/>
    </row>
    <row r="37" spans="1:15" ht="15.75" customHeight="1" x14ac:dyDescent="0.25">
      <c r="A37" s="244" t="s">
        <v>264</v>
      </c>
      <c r="B37" s="215" t="s">
        <v>216</v>
      </c>
      <c r="C37" s="262" t="s">
        <v>628</v>
      </c>
      <c r="D37" s="262">
        <v>1</v>
      </c>
      <c r="E37" s="296">
        <v>0.15843616740254352</v>
      </c>
      <c r="F37" s="335">
        <v>42461</v>
      </c>
      <c r="G37" s="249">
        <v>0</v>
      </c>
      <c r="H37" s="293">
        <f t="shared" si="1"/>
        <v>6.3422668188840923E-6</v>
      </c>
      <c r="I37" s="91" t="s">
        <v>165</v>
      </c>
      <c r="J37" s="264" t="s">
        <v>273</v>
      </c>
    </row>
    <row r="38" spans="1:15" ht="15.75" customHeight="1" x14ac:dyDescent="0.25">
      <c r="A38" s="244" t="s">
        <v>231</v>
      </c>
      <c r="B38" s="215" t="s">
        <v>255</v>
      </c>
      <c r="C38" s="262" t="s">
        <v>628</v>
      </c>
      <c r="D38" s="262">
        <v>1</v>
      </c>
      <c r="E38" s="296">
        <v>0.30976758347036004</v>
      </c>
      <c r="F38" s="263">
        <v>42828</v>
      </c>
      <c r="G38" s="249">
        <v>161026.37</v>
      </c>
      <c r="H38" s="293">
        <f t="shared" si="1"/>
        <v>1.2400127435665507E-5</v>
      </c>
      <c r="I38" s="91" t="s">
        <v>165</v>
      </c>
      <c r="J38" s="264" t="s">
        <v>338</v>
      </c>
      <c r="N38" s="309"/>
      <c r="O38" s="148"/>
    </row>
    <row r="39" spans="1:15" ht="15.75" customHeight="1" x14ac:dyDescent="0.25">
      <c r="A39" s="244" t="s">
        <v>172</v>
      </c>
      <c r="B39" s="215" t="s">
        <v>163</v>
      </c>
      <c r="C39" s="262" t="s">
        <v>628</v>
      </c>
      <c r="D39" s="262">
        <v>1</v>
      </c>
      <c r="E39" s="296">
        <v>1.7548145285935084</v>
      </c>
      <c r="F39" s="263">
        <v>42562</v>
      </c>
      <c r="G39" s="249">
        <v>287557.21000000002</v>
      </c>
      <c r="H39" s="293">
        <f t="shared" si="1"/>
        <v>7.0245968079480744E-5</v>
      </c>
      <c r="I39" s="91" t="s">
        <v>165</v>
      </c>
      <c r="J39" s="264" t="s">
        <v>312</v>
      </c>
    </row>
    <row r="40" spans="1:15" ht="15.75" customHeight="1" x14ac:dyDescent="0.25">
      <c r="A40" s="244" t="s">
        <v>185</v>
      </c>
      <c r="B40" s="215" t="s">
        <v>163</v>
      </c>
      <c r="C40" s="262" t="s">
        <v>628</v>
      </c>
      <c r="D40" s="262">
        <v>1</v>
      </c>
      <c r="E40" s="296">
        <v>2.2438356164383562</v>
      </c>
      <c r="F40" s="263">
        <v>42562</v>
      </c>
      <c r="G40" s="249">
        <v>210216.71</v>
      </c>
      <c r="H40" s="293">
        <f t="shared" si="1"/>
        <v>8.9821689141281617E-5</v>
      </c>
      <c r="I40" s="91" t="s">
        <v>165</v>
      </c>
      <c r="J40" s="264" t="s">
        <v>315</v>
      </c>
    </row>
    <row r="41" spans="1:15" ht="15.75" customHeight="1" x14ac:dyDescent="0.25">
      <c r="A41" s="244" t="s">
        <v>222</v>
      </c>
      <c r="B41" s="215" t="s">
        <v>163</v>
      </c>
      <c r="C41" s="262" t="s">
        <v>628</v>
      </c>
      <c r="D41" s="262">
        <v>1</v>
      </c>
      <c r="E41" s="296">
        <v>5.3058287509819326</v>
      </c>
      <c r="F41" s="263">
        <v>42741</v>
      </c>
      <c r="G41" s="249">
        <v>285765.65761904762</v>
      </c>
      <c r="H41" s="293">
        <f t="shared" si="1"/>
        <v>2.1239456991241075E-4</v>
      </c>
      <c r="I41" s="91" t="s">
        <v>165</v>
      </c>
      <c r="J41" s="264" t="s">
        <v>334</v>
      </c>
    </row>
    <row r="42" spans="1:15" ht="15.75" customHeight="1" x14ac:dyDescent="0.25">
      <c r="A42" s="244" t="s">
        <v>225</v>
      </c>
      <c r="B42" s="215" t="s">
        <v>163</v>
      </c>
      <c r="C42" s="262" t="s">
        <v>628</v>
      </c>
      <c r="D42" s="262">
        <v>1</v>
      </c>
      <c r="E42" s="296">
        <v>5.6042218400687878</v>
      </c>
      <c r="F42" s="263">
        <v>42732</v>
      </c>
      <c r="G42" s="249">
        <v>471842</v>
      </c>
      <c r="H42" s="293">
        <f t="shared" si="1"/>
        <v>2.2433937152511058E-4</v>
      </c>
      <c r="I42" s="91" t="s">
        <v>165</v>
      </c>
      <c r="J42" s="264" t="s">
        <v>335</v>
      </c>
    </row>
    <row r="43" spans="1:15" ht="15.75" customHeight="1" x14ac:dyDescent="0.25">
      <c r="A43" s="244" t="s">
        <v>226</v>
      </c>
      <c r="B43" s="215" t="s">
        <v>163</v>
      </c>
      <c r="C43" s="262" t="s">
        <v>628</v>
      </c>
      <c r="D43" s="262">
        <v>1</v>
      </c>
      <c r="E43" s="296">
        <v>4.5359999999999996</v>
      </c>
      <c r="F43" s="263">
        <v>42696</v>
      </c>
      <c r="G43" s="249">
        <v>187063</v>
      </c>
      <c r="H43" s="293">
        <f t="shared" si="1"/>
        <v>1.8157799927945236E-4</v>
      </c>
      <c r="I43" s="91" t="s">
        <v>165</v>
      </c>
      <c r="J43" s="264" t="s">
        <v>336</v>
      </c>
    </row>
    <row r="44" spans="1:15" ht="15.75" customHeight="1" x14ac:dyDescent="0.25">
      <c r="A44" s="244" t="s">
        <v>229</v>
      </c>
      <c r="B44" s="215" t="s">
        <v>163</v>
      </c>
      <c r="C44" s="262" t="s">
        <v>628</v>
      </c>
      <c r="D44" s="262">
        <v>1</v>
      </c>
      <c r="E44" s="296">
        <v>6.4740741575320317</v>
      </c>
      <c r="F44" s="263">
        <v>42374</v>
      </c>
      <c r="G44" s="249">
        <v>370777.82</v>
      </c>
      <c r="H44" s="293">
        <f t="shared" si="1"/>
        <v>2.5915992784644455E-4</v>
      </c>
      <c r="I44" s="91" t="s">
        <v>165</v>
      </c>
      <c r="J44" s="264" t="s">
        <v>274</v>
      </c>
    </row>
    <row r="45" spans="1:15" ht="15.75" customHeight="1" x14ac:dyDescent="0.25">
      <c r="A45" s="244" t="s">
        <v>155</v>
      </c>
      <c r="B45" s="215" t="s">
        <v>163</v>
      </c>
      <c r="C45" s="262" t="s">
        <v>628</v>
      </c>
      <c r="D45" s="262">
        <v>1</v>
      </c>
      <c r="E45" s="296">
        <v>27.229999999999997</v>
      </c>
      <c r="F45" s="263">
        <v>43217</v>
      </c>
      <c r="G45" s="249">
        <v>288977.62</v>
      </c>
      <c r="H45" s="293">
        <f t="shared" si="1"/>
        <v>1.0900284216004161E-3</v>
      </c>
      <c r="I45" s="91" t="s">
        <v>165</v>
      </c>
      <c r="J45" s="264" t="s">
        <v>366</v>
      </c>
    </row>
    <row r="46" spans="1:15" ht="15.75" customHeight="1" x14ac:dyDescent="0.25">
      <c r="A46" s="244" t="s">
        <v>168</v>
      </c>
      <c r="B46" s="215" t="s">
        <v>163</v>
      </c>
      <c r="C46" s="262" t="s">
        <v>628</v>
      </c>
      <c r="D46" s="262">
        <v>1</v>
      </c>
      <c r="E46" s="296">
        <v>7.7795176390352774</v>
      </c>
      <c r="F46" s="263">
        <v>43276</v>
      </c>
      <c r="G46" s="249">
        <v>359069.5076190476</v>
      </c>
      <c r="H46" s="293">
        <f t="shared" si="1"/>
        <v>3.1141738277231805E-4</v>
      </c>
      <c r="I46" s="91" t="s">
        <v>165</v>
      </c>
      <c r="J46" s="264" t="s">
        <v>306</v>
      </c>
      <c r="N46" s="309"/>
      <c r="O46" s="148"/>
    </row>
    <row r="47" spans="1:15" ht="15.75" customHeight="1" x14ac:dyDescent="0.25">
      <c r="A47" s="244" t="s">
        <v>233</v>
      </c>
      <c r="B47" s="215" t="s">
        <v>256</v>
      </c>
      <c r="C47" s="262" t="s">
        <v>628</v>
      </c>
      <c r="D47" s="262">
        <v>1</v>
      </c>
      <c r="E47" s="296">
        <v>0.21772081800141116</v>
      </c>
      <c r="F47" s="263">
        <v>42828</v>
      </c>
      <c r="G47" s="249">
        <v>161026.37</v>
      </c>
      <c r="H47" s="293">
        <f t="shared" si="1"/>
        <v>8.7154564669713453E-6</v>
      </c>
      <c r="I47" s="91" t="s">
        <v>165</v>
      </c>
      <c r="J47" s="264" t="s">
        <v>338</v>
      </c>
    </row>
    <row r="48" spans="1:15" ht="15.75" customHeight="1" x14ac:dyDescent="0.25">
      <c r="A48" s="244" t="s">
        <v>260</v>
      </c>
      <c r="B48" s="215" t="s">
        <v>256</v>
      </c>
      <c r="C48" s="262" t="s">
        <v>628</v>
      </c>
      <c r="D48" s="262">
        <v>1</v>
      </c>
      <c r="E48" s="296">
        <v>4.8970588235294121</v>
      </c>
      <c r="F48" s="263">
        <v>43266</v>
      </c>
      <c r="G48" s="249">
        <v>544328.13</v>
      </c>
      <c r="H48" s="293">
        <f t="shared" si="1"/>
        <v>1.9603133675711188E-4</v>
      </c>
      <c r="I48" s="91" t="s">
        <v>165</v>
      </c>
      <c r="J48" s="264" t="s">
        <v>270</v>
      </c>
      <c r="N48" s="309"/>
      <c r="O48" s="148"/>
    </row>
    <row r="49" spans="1:15" ht="15.75" customHeight="1" x14ac:dyDescent="0.25">
      <c r="A49" s="244" t="s">
        <v>210</v>
      </c>
      <c r="B49" s="215" t="s">
        <v>159</v>
      </c>
      <c r="C49" s="262" t="s">
        <v>627</v>
      </c>
      <c r="D49" s="262">
        <v>1</v>
      </c>
      <c r="E49" s="296">
        <v>0.50053458495303405</v>
      </c>
      <c r="F49" s="263">
        <v>41548</v>
      </c>
      <c r="G49" s="249">
        <v>0</v>
      </c>
      <c r="H49" s="293">
        <f t="shared" si="1"/>
        <v>2.0036611222650576E-5</v>
      </c>
      <c r="I49" s="91" t="s">
        <v>165</v>
      </c>
      <c r="J49" s="264" t="s">
        <v>329</v>
      </c>
    </row>
    <row r="50" spans="1:15" ht="15.75" customHeight="1" x14ac:dyDescent="0.25">
      <c r="A50" s="244" t="s">
        <v>247</v>
      </c>
      <c r="B50" s="215" t="s">
        <v>159</v>
      </c>
      <c r="C50" s="262" t="s">
        <v>627</v>
      </c>
      <c r="D50" s="262">
        <v>1</v>
      </c>
      <c r="E50" s="296">
        <v>4.1447368421052636E-2</v>
      </c>
      <c r="F50" s="263">
        <v>42614</v>
      </c>
      <c r="G50" s="249">
        <v>0</v>
      </c>
      <c r="H50" s="293">
        <f t="shared" si="1"/>
        <v>1.6591556951704349E-6</v>
      </c>
      <c r="I50" s="91" t="s">
        <v>165</v>
      </c>
      <c r="J50" s="264" t="s">
        <v>353</v>
      </c>
    </row>
    <row r="51" spans="1:15" ht="15.75" customHeight="1" x14ac:dyDescent="0.25">
      <c r="A51" s="244" t="s">
        <v>248</v>
      </c>
      <c r="B51" s="215" t="s">
        <v>159</v>
      </c>
      <c r="C51" s="262" t="s">
        <v>627</v>
      </c>
      <c r="D51" s="262">
        <v>1</v>
      </c>
      <c r="E51" s="296">
        <v>0.25693478438752965</v>
      </c>
      <c r="F51" s="263">
        <v>42552</v>
      </c>
      <c r="G51" s="249">
        <v>14360</v>
      </c>
      <c r="H51" s="293">
        <f t="shared" si="1"/>
        <v>1.0285208133682785E-5</v>
      </c>
      <c r="I51" s="91" t="s">
        <v>165</v>
      </c>
      <c r="J51" s="264" t="s">
        <v>354</v>
      </c>
    </row>
    <row r="52" spans="1:15" ht="15.75" customHeight="1" x14ac:dyDescent="0.25">
      <c r="A52" s="244" t="s">
        <v>249</v>
      </c>
      <c r="B52" s="215" t="s">
        <v>159</v>
      </c>
      <c r="C52" s="262" t="s">
        <v>627</v>
      </c>
      <c r="D52" s="262">
        <v>1</v>
      </c>
      <c r="E52" s="296">
        <v>0.50917591651994787</v>
      </c>
      <c r="F52" s="263">
        <v>42552</v>
      </c>
      <c r="G52" s="249">
        <v>14360</v>
      </c>
      <c r="H52" s="293">
        <f t="shared" si="1"/>
        <v>2.0382527381607937E-5</v>
      </c>
      <c r="I52" s="91" t="s">
        <v>165</v>
      </c>
      <c r="J52" s="264" t="s">
        <v>355</v>
      </c>
    </row>
    <row r="53" spans="1:15" ht="15.75" customHeight="1" x14ac:dyDescent="0.25">
      <c r="A53" s="244" t="s">
        <v>250</v>
      </c>
      <c r="B53" s="215" t="s">
        <v>159</v>
      </c>
      <c r="C53" s="262" t="s">
        <v>627</v>
      </c>
      <c r="D53" s="262">
        <v>1</v>
      </c>
      <c r="E53" s="296">
        <v>0.25864493913912029</v>
      </c>
      <c r="F53" s="263">
        <v>42552</v>
      </c>
      <c r="G53" s="249">
        <v>14360</v>
      </c>
      <c r="H53" s="293">
        <f t="shared" si="1"/>
        <v>1.0353666351992326E-5</v>
      </c>
      <c r="I53" s="91" t="s">
        <v>165</v>
      </c>
      <c r="J53" s="264" t="s">
        <v>356</v>
      </c>
    </row>
    <row r="54" spans="1:15" ht="15.75" customHeight="1" x14ac:dyDescent="0.25">
      <c r="A54" s="244" t="s">
        <v>253</v>
      </c>
      <c r="B54" s="215" t="s">
        <v>159</v>
      </c>
      <c r="C54" s="262" t="s">
        <v>627</v>
      </c>
      <c r="D54" s="262">
        <v>1</v>
      </c>
      <c r="E54" s="296">
        <v>0.41759908286002562</v>
      </c>
      <c r="F54" s="263">
        <v>42795</v>
      </c>
      <c r="G54" s="249">
        <v>15000</v>
      </c>
      <c r="H54" s="293">
        <f t="shared" si="1"/>
        <v>1.6716667982067396E-5</v>
      </c>
      <c r="I54" s="91" t="s">
        <v>165</v>
      </c>
      <c r="J54" s="264" t="s">
        <v>359</v>
      </c>
    </row>
    <row r="55" spans="1:15" ht="15.75" customHeight="1" x14ac:dyDescent="0.25">
      <c r="A55" s="244" t="s">
        <v>149</v>
      </c>
      <c r="B55" s="215" t="s">
        <v>159</v>
      </c>
      <c r="C55" s="262" t="s">
        <v>627</v>
      </c>
      <c r="D55" s="262">
        <v>1</v>
      </c>
      <c r="E55" s="296">
        <v>0.18545454545454548</v>
      </c>
      <c r="F55" s="263">
        <v>41974</v>
      </c>
      <c r="G55" s="249">
        <v>23387</v>
      </c>
      <c r="H55" s="293">
        <f t="shared" si="1"/>
        <v>7.4238239243643359E-6</v>
      </c>
      <c r="I55" s="91" t="s">
        <v>165</v>
      </c>
      <c r="J55" s="264" t="s">
        <v>362</v>
      </c>
      <c r="N55" s="309"/>
      <c r="O55" s="148"/>
    </row>
    <row r="56" spans="1:15" ht="15.75" customHeight="1" x14ac:dyDescent="0.25">
      <c r="A56" s="244" t="s">
        <v>204</v>
      </c>
      <c r="B56" s="215" t="s">
        <v>217</v>
      </c>
      <c r="C56" s="262" t="s">
        <v>627</v>
      </c>
      <c r="D56" s="262">
        <v>1</v>
      </c>
      <c r="E56" s="296">
        <v>0.10417060973370068</v>
      </c>
      <c r="F56" s="263">
        <v>41974</v>
      </c>
      <c r="G56" s="249">
        <v>0</v>
      </c>
      <c r="H56" s="293">
        <f t="shared" si="1"/>
        <v>4.1699935844722263E-6</v>
      </c>
      <c r="I56" s="91" t="s">
        <v>165</v>
      </c>
      <c r="J56" s="264" t="s">
        <v>325</v>
      </c>
    </row>
    <row r="57" spans="1:15" ht="15.75" customHeight="1" x14ac:dyDescent="0.25">
      <c r="A57" s="244" t="s">
        <v>205</v>
      </c>
      <c r="B57" s="215" t="s">
        <v>217</v>
      </c>
      <c r="C57" s="262" t="s">
        <v>627</v>
      </c>
      <c r="D57" s="262">
        <v>1</v>
      </c>
      <c r="E57" s="296">
        <v>0.81663784067952239</v>
      </c>
      <c r="F57" s="263">
        <v>41974</v>
      </c>
      <c r="G57" s="249">
        <v>0</v>
      </c>
      <c r="H57" s="293">
        <f t="shared" si="1"/>
        <v>3.2690358299488509E-5</v>
      </c>
      <c r="I57" s="91" t="s">
        <v>165</v>
      </c>
      <c r="J57" s="264" t="s">
        <v>325</v>
      </c>
    </row>
    <row r="58" spans="1:15" ht="15.75" customHeight="1" x14ac:dyDescent="0.25">
      <c r="A58" s="244" t="s">
        <v>206</v>
      </c>
      <c r="B58" s="215" t="s">
        <v>217</v>
      </c>
      <c r="C58" s="262" t="s">
        <v>627</v>
      </c>
      <c r="D58" s="262">
        <v>1</v>
      </c>
      <c r="E58" s="296">
        <v>7.1425460342975207</v>
      </c>
      <c r="F58" s="263">
        <v>41974</v>
      </c>
      <c r="G58" s="249">
        <v>0</v>
      </c>
      <c r="H58" s="293">
        <f t="shared" si="1"/>
        <v>2.8591913991823871E-4</v>
      </c>
      <c r="I58" s="91" t="s">
        <v>165</v>
      </c>
      <c r="J58" s="264" t="s">
        <v>325</v>
      </c>
    </row>
    <row r="59" spans="1:15" ht="15.75" customHeight="1" x14ac:dyDescent="0.25">
      <c r="A59" s="244" t="s">
        <v>241</v>
      </c>
      <c r="B59" s="215" t="s">
        <v>217</v>
      </c>
      <c r="C59" s="262" t="s">
        <v>627</v>
      </c>
      <c r="D59" s="262">
        <v>1</v>
      </c>
      <c r="E59" s="296">
        <v>0.3789473684210527</v>
      </c>
      <c r="F59" s="263">
        <v>42614</v>
      </c>
      <c r="G59" s="249">
        <v>0</v>
      </c>
      <c r="H59" s="293">
        <f t="shared" si="1"/>
        <v>1.5169423498701121E-5</v>
      </c>
      <c r="I59" s="91" t="s">
        <v>165</v>
      </c>
      <c r="J59" s="264" t="s">
        <v>347</v>
      </c>
    </row>
    <row r="60" spans="1:15" ht="15.75" customHeight="1" x14ac:dyDescent="0.25">
      <c r="A60" s="244" t="s">
        <v>254</v>
      </c>
      <c r="B60" s="215" t="s">
        <v>217</v>
      </c>
      <c r="C60" s="262" t="s">
        <v>627</v>
      </c>
      <c r="D60" s="262">
        <v>1</v>
      </c>
      <c r="E60" s="296">
        <v>0.61246290801186953</v>
      </c>
      <c r="F60" s="263">
        <v>42599</v>
      </c>
      <c r="G60" s="249">
        <v>45000</v>
      </c>
      <c r="H60" s="293">
        <f t="shared" si="1"/>
        <v>2.451714935398381E-5</v>
      </c>
      <c r="I60" s="91" t="s">
        <v>165</v>
      </c>
      <c r="J60" s="264" t="s">
        <v>360</v>
      </c>
    </row>
    <row r="61" spans="1:15" ht="15.75" customHeight="1" x14ac:dyDescent="0.25">
      <c r="A61" s="244" t="s">
        <v>372</v>
      </c>
      <c r="B61" s="215" t="s">
        <v>217</v>
      </c>
      <c r="C61" s="262" t="s">
        <v>627</v>
      </c>
      <c r="D61" s="262">
        <v>1</v>
      </c>
      <c r="E61" s="296">
        <v>1.5056603773584904E-2</v>
      </c>
      <c r="F61" s="335">
        <v>42856</v>
      </c>
      <c r="G61" s="249">
        <v>0</v>
      </c>
      <c r="H61" s="293">
        <f t="shared" si="1"/>
        <v>6.027222198304673E-7</v>
      </c>
      <c r="I61" s="91" t="s">
        <v>165</v>
      </c>
      <c r="J61" s="264" t="s">
        <v>268</v>
      </c>
      <c r="N61" s="309"/>
      <c r="O61" s="148"/>
    </row>
    <row r="62" spans="1:15" ht="15.75" customHeight="1" x14ac:dyDescent="0.25">
      <c r="A62" s="244" t="s">
        <v>373</v>
      </c>
      <c r="B62" s="215" t="s">
        <v>261</v>
      </c>
      <c r="C62" s="262" t="s">
        <v>627</v>
      </c>
      <c r="D62" s="262">
        <v>1</v>
      </c>
      <c r="E62" s="296">
        <v>8.3886792452830178E-2</v>
      </c>
      <c r="F62" s="335">
        <v>42856</v>
      </c>
      <c r="G62" s="249">
        <v>0</v>
      </c>
      <c r="H62" s="293">
        <f t="shared" si="1"/>
        <v>3.3580237961983177E-6</v>
      </c>
      <c r="I62" s="91" t="s">
        <v>165</v>
      </c>
      <c r="J62" s="264" t="s">
        <v>269</v>
      </c>
      <c r="N62" s="309"/>
      <c r="O62" s="148"/>
    </row>
    <row r="63" spans="1:15" ht="15.75" customHeight="1" x14ac:dyDescent="0.25">
      <c r="A63" s="295" t="s">
        <v>184</v>
      </c>
      <c r="B63" s="215" t="s">
        <v>215</v>
      </c>
      <c r="C63" s="262" t="s">
        <v>628</v>
      </c>
      <c r="D63" s="262">
        <v>1</v>
      </c>
      <c r="E63" s="296">
        <v>4.9346267341773942</v>
      </c>
      <c r="F63" s="263">
        <v>42755</v>
      </c>
      <c r="G63" s="249">
        <v>470470.8</v>
      </c>
      <c r="H63" s="293">
        <f t="shared" si="1"/>
        <v>1.9753519611614403E-4</v>
      </c>
      <c r="I63" s="215" t="s">
        <v>165</v>
      </c>
      <c r="J63" s="264" t="s">
        <v>388</v>
      </c>
      <c r="N63" s="309"/>
      <c r="O63" s="148"/>
    </row>
    <row r="64" spans="1:15" ht="15.75" customHeight="1" x14ac:dyDescent="0.25">
      <c r="A64" s="244" t="s">
        <v>176</v>
      </c>
      <c r="B64" s="215" t="s">
        <v>214</v>
      </c>
      <c r="C64" s="262" t="s">
        <v>628</v>
      </c>
      <c r="D64" s="262">
        <v>1</v>
      </c>
      <c r="E64" s="296">
        <v>3.43</v>
      </c>
      <c r="F64" s="263">
        <v>42885</v>
      </c>
      <c r="G64" s="249">
        <v>348493.61</v>
      </c>
      <c r="H64" s="293">
        <f t="shared" si="1"/>
        <v>1.3730435130699333E-4</v>
      </c>
      <c r="I64" s="91" t="s">
        <v>165</v>
      </c>
      <c r="J64" s="264" t="s">
        <v>313</v>
      </c>
      <c r="N64" s="309"/>
      <c r="O64" s="148"/>
    </row>
    <row r="65" spans="1:15" ht="15.75" customHeight="1" x14ac:dyDescent="0.25">
      <c r="A65" s="244" t="s">
        <v>146</v>
      </c>
      <c r="B65" s="215" t="s">
        <v>157</v>
      </c>
      <c r="C65" s="262" t="s">
        <v>628</v>
      </c>
      <c r="D65" s="262">
        <v>1</v>
      </c>
      <c r="E65" s="296">
        <v>8.967784403669727</v>
      </c>
      <c r="F65" s="263">
        <v>42997</v>
      </c>
      <c r="G65" s="249">
        <v>480151.07</v>
      </c>
      <c r="H65" s="293">
        <f t="shared" si="1"/>
        <v>3.5898420414193693E-4</v>
      </c>
      <c r="I65" s="91" t="s">
        <v>165</v>
      </c>
      <c r="J65" s="264" t="s">
        <v>389</v>
      </c>
    </row>
    <row r="66" spans="1:15" ht="15.75" customHeight="1" x14ac:dyDescent="0.25">
      <c r="A66" s="244" t="s">
        <v>147</v>
      </c>
      <c r="B66" s="215" t="s">
        <v>157</v>
      </c>
      <c r="C66" s="262" t="s">
        <v>628</v>
      </c>
      <c r="D66" s="262">
        <v>1</v>
      </c>
      <c r="E66" s="296">
        <v>33.386362335432175</v>
      </c>
      <c r="F66" s="263">
        <v>42993</v>
      </c>
      <c r="G66" s="249">
        <v>799633.97</v>
      </c>
      <c r="H66" s="293">
        <f t="shared" si="1"/>
        <v>1.3364702107774779E-3</v>
      </c>
      <c r="I66" s="91" t="s">
        <v>165</v>
      </c>
      <c r="J66" s="264" t="s">
        <v>390</v>
      </c>
    </row>
    <row r="67" spans="1:15" ht="15.75" customHeight="1" x14ac:dyDescent="0.25">
      <c r="A67" s="244" t="s">
        <v>152</v>
      </c>
      <c r="B67" s="215" t="s">
        <v>157</v>
      </c>
      <c r="C67" s="262" t="s">
        <v>628</v>
      </c>
      <c r="D67" s="262">
        <v>1</v>
      </c>
      <c r="E67" s="298">
        <v>13.65</v>
      </c>
      <c r="F67" s="263">
        <v>43041</v>
      </c>
      <c r="G67" s="249">
        <v>399658.56</v>
      </c>
      <c r="H67" s="293">
        <f t="shared" si="1"/>
        <v>5.4641527560946317E-4</v>
      </c>
      <c r="I67" s="91" t="s">
        <v>165</v>
      </c>
      <c r="J67" s="264" t="s">
        <v>391</v>
      </c>
      <c r="N67" s="309"/>
      <c r="O67" s="148"/>
    </row>
    <row r="68" spans="1:15" ht="15.75" customHeight="1" x14ac:dyDescent="0.25">
      <c r="A68" s="244" t="s">
        <v>673</v>
      </c>
      <c r="B68" s="215" t="s">
        <v>157</v>
      </c>
      <c r="C68" s="262" t="s">
        <v>628</v>
      </c>
      <c r="D68" s="262">
        <v>1</v>
      </c>
      <c r="E68" s="298">
        <v>49.78</v>
      </c>
      <c r="F68" s="263">
        <v>43281</v>
      </c>
      <c r="G68" s="249">
        <v>150472.65</v>
      </c>
      <c r="H68" s="293">
        <f t="shared" si="1"/>
        <v>1.992714462991874E-3</v>
      </c>
      <c r="I68" s="91" t="s">
        <v>165</v>
      </c>
      <c r="J68" s="264" t="s">
        <v>674</v>
      </c>
      <c r="N68" s="309"/>
      <c r="O68" s="148"/>
    </row>
    <row r="69" spans="1:15" ht="15.75" customHeight="1" x14ac:dyDescent="0.25">
      <c r="A69" s="244" t="s">
        <v>392</v>
      </c>
      <c r="B69" s="215" t="s">
        <v>213</v>
      </c>
      <c r="C69" s="262" t="s">
        <v>628</v>
      </c>
      <c r="D69" s="262">
        <v>1</v>
      </c>
      <c r="E69" s="296">
        <v>3.2766685316921111</v>
      </c>
      <c r="F69" s="263">
        <v>41969</v>
      </c>
      <c r="G69" s="249">
        <v>45084.26</v>
      </c>
      <c r="H69" s="293">
        <f t="shared" si="1"/>
        <v>1.3116642775277656E-4</v>
      </c>
      <c r="I69" s="91" t="s">
        <v>165</v>
      </c>
      <c r="J69" s="264" t="s">
        <v>412</v>
      </c>
    </row>
    <row r="70" spans="1:15" ht="15.75" customHeight="1" x14ac:dyDescent="0.25">
      <c r="A70" s="244" t="s">
        <v>393</v>
      </c>
      <c r="B70" s="215" t="s">
        <v>213</v>
      </c>
      <c r="C70" s="262" t="s">
        <v>628</v>
      </c>
      <c r="D70" s="262">
        <v>1</v>
      </c>
      <c r="E70" s="296">
        <v>1.0473825503355707</v>
      </c>
      <c r="F70" s="263">
        <v>41969</v>
      </c>
      <c r="G70" s="249">
        <v>128674.89</v>
      </c>
      <c r="H70" s="293">
        <f t="shared" si="1"/>
        <v>4.1927166660084489E-5</v>
      </c>
      <c r="I70" s="91" t="s">
        <v>165</v>
      </c>
      <c r="J70" s="264" t="s">
        <v>413</v>
      </c>
    </row>
    <row r="71" spans="1:15" ht="15.75" customHeight="1" x14ac:dyDescent="0.25">
      <c r="A71" s="244" t="s">
        <v>394</v>
      </c>
      <c r="B71" s="215" t="s">
        <v>213</v>
      </c>
      <c r="C71" s="262" t="s">
        <v>628</v>
      </c>
      <c r="D71" s="262">
        <v>1</v>
      </c>
      <c r="E71" s="298">
        <v>3.68</v>
      </c>
      <c r="F71" s="263">
        <v>41969</v>
      </c>
      <c r="G71" s="249">
        <v>76181.649999999994</v>
      </c>
      <c r="H71" s="293">
        <f t="shared" si="1"/>
        <v>1.4731195708738641E-4</v>
      </c>
      <c r="I71" s="91" t="s">
        <v>165</v>
      </c>
      <c r="J71" s="264" t="s">
        <v>414</v>
      </c>
    </row>
    <row r="72" spans="1:15" ht="15.75" customHeight="1" x14ac:dyDescent="0.25">
      <c r="A72" s="244" t="s">
        <v>395</v>
      </c>
      <c r="B72" s="215" t="s">
        <v>213</v>
      </c>
      <c r="C72" s="262" t="s">
        <v>628</v>
      </c>
      <c r="D72" s="262">
        <v>1</v>
      </c>
      <c r="E72" s="296">
        <v>2.3504026971342955</v>
      </c>
      <c r="F72" s="263">
        <v>41969</v>
      </c>
      <c r="G72" s="249">
        <v>169483.91</v>
      </c>
      <c r="H72" s="293">
        <f t="shared" si="1"/>
        <v>9.4087614472370822E-5</v>
      </c>
      <c r="I72" s="91" t="s">
        <v>165</v>
      </c>
      <c r="J72" s="264" t="s">
        <v>415</v>
      </c>
    </row>
    <row r="73" spans="1:15" ht="15.75" customHeight="1" x14ac:dyDescent="0.25">
      <c r="A73" s="244" t="s">
        <v>396</v>
      </c>
      <c r="B73" s="215" t="s">
        <v>213</v>
      </c>
      <c r="C73" s="262" t="s">
        <v>628</v>
      </c>
      <c r="D73" s="262">
        <v>1</v>
      </c>
      <c r="E73" s="296">
        <v>2.7921143174250833</v>
      </c>
      <c r="F73" s="263">
        <v>41969</v>
      </c>
      <c r="G73" s="249">
        <v>125876.31</v>
      </c>
      <c r="H73" s="293">
        <f t="shared" si="1"/>
        <v>1.1176951753032638E-4</v>
      </c>
      <c r="I73" s="91" t="s">
        <v>165</v>
      </c>
      <c r="J73" s="264" t="s">
        <v>416</v>
      </c>
    </row>
    <row r="74" spans="1:15" ht="15.75" customHeight="1" x14ac:dyDescent="0.25">
      <c r="A74" s="244" t="s">
        <v>397</v>
      </c>
      <c r="B74" s="215" t="s">
        <v>213</v>
      </c>
      <c r="C74" s="262" t="s">
        <v>628</v>
      </c>
      <c r="D74" s="262">
        <v>1</v>
      </c>
      <c r="E74" s="296">
        <v>2.5628008752735232</v>
      </c>
      <c r="F74" s="263">
        <v>41969</v>
      </c>
      <c r="G74" s="249">
        <v>120707.37</v>
      </c>
      <c r="H74" s="293">
        <f t="shared" si="1"/>
        <v>1.0259000341353522E-4</v>
      </c>
      <c r="I74" s="91" t="s">
        <v>165</v>
      </c>
      <c r="J74" s="264" t="s">
        <v>417</v>
      </c>
    </row>
    <row r="75" spans="1:15" ht="15.75" customHeight="1" x14ac:dyDescent="0.25">
      <c r="A75" s="244" t="s">
        <v>398</v>
      </c>
      <c r="B75" s="215" t="s">
        <v>213</v>
      </c>
      <c r="C75" s="262" t="s">
        <v>628</v>
      </c>
      <c r="D75" s="262">
        <v>1</v>
      </c>
      <c r="E75" s="296">
        <v>1.7007615894039734</v>
      </c>
      <c r="F75" s="263">
        <v>41969</v>
      </c>
      <c r="G75" s="249">
        <v>141230.69</v>
      </c>
      <c r="H75" s="293">
        <f t="shared" si="1"/>
        <v>6.8082206052759033E-5</v>
      </c>
      <c r="I75" s="91" t="s">
        <v>165</v>
      </c>
      <c r="J75" s="324" t="s">
        <v>418</v>
      </c>
    </row>
    <row r="76" spans="1:15" ht="15.75" customHeight="1" x14ac:dyDescent="0.25">
      <c r="A76" s="244" t="s">
        <v>399</v>
      </c>
      <c r="B76" s="215" t="s">
        <v>213</v>
      </c>
      <c r="C76" s="262" t="s">
        <v>628</v>
      </c>
      <c r="D76" s="262">
        <v>1</v>
      </c>
      <c r="E76" s="296">
        <v>1.542419732085903</v>
      </c>
      <c r="F76" s="263">
        <v>41969</v>
      </c>
      <c r="G76" s="249">
        <v>76083.149999999994</v>
      </c>
      <c r="H76" s="293">
        <f t="shared" si="1"/>
        <v>6.1743714506461031E-5</v>
      </c>
      <c r="I76" s="91" t="s">
        <v>165</v>
      </c>
      <c r="J76" s="324" t="s">
        <v>419</v>
      </c>
    </row>
    <row r="77" spans="1:15" ht="15.75" customHeight="1" x14ac:dyDescent="0.25">
      <c r="A77" s="244" t="s">
        <v>400</v>
      </c>
      <c r="B77" s="215" t="s">
        <v>213</v>
      </c>
      <c r="C77" s="262" t="s">
        <v>628</v>
      </c>
      <c r="D77" s="262">
        <v>1</v>
      </c>
      <c r="E77" s="296">
        <v>2.5211257928118389</v>
      </c>
      <c r="F77" s="263">
        <v>42104</v>
      </c>
      <c r="G77" s="249">
        <v>31225.18</v>
      </c>
      <c r="H77" s="293">
        <f t="shared" si="1"/>
        <v>1.0092173222896757E-4</v>
      </c>
      <c r="I77" s="91" t="s">
        <v>165</v>
      </c>
      <c r="J77" s="264" t="s">
        <v>420</v>
      </c>
    </row>
    <row r="78" spans="1:15" ht="15.75" customHeight="1" x14ac:dyDescent="0.25">
      <c r="A78" s="244" t="s">
        <v>401</v>
      </c>
      <c r="B78" s="215" t="s">
        <v>213</v>
      </c>
      <c r="C78" s="262" t="s">
        <v>628</v>
      </c>
      <c r="D78" s="262">
        <v>1</v>
      </c>
      <c r="E78" s="296">
        <v>3.9855673611290316</v>
      </c>
      <c r="F78" s="263">
        <v>42104</v>
      </c>
      <c r="G78" s="249">
        <v>51028.77</v>
      </c>
      <c r="H78" s="293">
        <f t="shared" si="1"/>
        <v>1.5954394784552386E-4</v>
      </c>
      <c r="I78" s="91" t="s">
        <v>165</v>
      </c>
      <c r="J78" s="264" t="s">
        <v>421</v>
      </c>
    </row>
    <row r="79" spans="1:15" ht="15.75" customHeight="1" x14ac:dyDescent="0.25">
      <c r="A79" s="244" t="s">
        <v>402</v>
      </c>
      <c r="B79" s="215" t="s">
        <v>213</v>
      </c>
      <c r="C79" s="262" t="s">
        <v>628</v>
      </c>
      <c r="D79" s="262">
        <v>1</v>
      </c>
      <c r="E79" s="298">
        <v>1.1100000000000001</v>
      </c>
      <c r="F79" s="263">
        <v>42570</v>
      </c>
      <c r="G79" s="249">
        <v>236998.29</v>
      </c>
      <c r="H79" s="293">
        <f t="shared" si="1"/>
        <v>4.4433769664945363E-5</v>
      </c>
      <c r="I79" s="91" t="s">
        <v>165</v>
      </c>
      <c r="J79" s="264" t="s">
        <v>422</v>
      </c>
    </row>
    <row r="80" spans="1:15" ht="15.75" customHeight="1" x14ac:dyDescent="0.25">
      <c r="A80" s="244" t="s">
        <v>403</v>
      </c>
      <c r="B80" s="215" t="s">
        <v>213</v>
      </c>
      <c r="C80" s="262" t="s">
        <v>628</v>
      </c>
      <c r="D80" s="262">
        <v>1</v>
      </c>
      <c r="E80" s="296">
        <v>6.1559900412103676</v>
      </c>
      <c r="F80" s="263">
        <v>42104</v>
      </c>
      <c r="G80" s="249">
        <v>75732.06</v>
      </c>
      <c r="H80" s="293">
        <f t="shared" si="1"/>
        <v>2.4642688608183692E-4</v>
      </c>
      <c r="I80" s="91" t="s">
        <v>165</v>
      </c>
      <c r="J80" s="264" t="s">
        <v>423</v>
      </c>
    </row>
    <row r="81" spans="1:10" ht="15.75" customHeight="1" x14ac:dyDescent="0.25">
      <c r="A81" s="244" t="s">
        <v>404</v>
      </c>
      <c r="B81" s="215" t="s">
        <v>213</v>
      </c>
      <c r="C81" s="262" t="s">
        <v>628</v>
      </c>
      <c r="D81" s="262">
        <v>1</v>
      </c>
      <c r="E81" s="296">
        <v>4.7790811827143003</v>
      </c>
      <c r="F81" s="263">
        <v>41976</v>
      </c>
      <c r="G81" s="249">
        <v>466034.79</v>
      </c>
      <c r="H81" s="293">
        <f t="shared" si="1"/>
        <v>1.9130864187639807E-4</v>
      </c>
      <c r="I81" s="91" t="s">
        <v>165</v>
      </c>
      <c r="J81" s="264" t="s">
        <v>424</v>
      </c>
    </row>
    <row r="82" spans="1:10" ht="15.75" customHeight="1" x14ac:dyDescent="0.25">
      <c r="A82" s="244" t="s">
        <v>405</v>
      </c>
      <c r="B82" s="215" t="s">
        <v>213</v>
      </c>
      <c r="C82" s="262" t="s">
        <v>628</v>
      </c>
      <c r="D82" s="262">
        <v>1</v>
      </c>
      <c r="E82" s="296">
        <v>1.1966630669546436</v>
      </c>
      <c r="F82" s="263">
        <v>42585</v>
      </c>
      <c r="G82" s="249">
        <v>73539.179999999993</v>
      </c>
      <c r="H82" s="293">
        <f t="shared" si="1"/>
        <v>4.79029289041529E-5</v>
      </c>
      <c r="I82" s="91" t="s">
        <v>165</v>
      </c>
      <c r="J82" s="264" t="s">
        <v>425</v>
      </c>
    </row>
    <row r="83" spans="1:10" ht="15.75" customHeight="1" x14ac:dyDescent="0.25">
      <c r="A83" s="244" t="s">
        <v>406</v>
      </c>
      <c r="B83" s="215" t="s">
        <v>213</v>
      </c>
      <c r="C83" s="262" t="s">
        <v>628</v>
      </c>
      <c r="D83" s="262">
        <v>1</v>
      </c>
      <c r="E83" s="296">
        <v>5.1659999999999995</v>
      </c>
      <c r="F83" s="263">
        <v>42104</v>
      </c>
      <c r="G83" s="249">
        <v>101345.37</v>
      </c>
      <c r="H83" s="293">
        <f t="shared" si="1"/>
        <v>2.0679716584604297E-4</v>
      </c>
      <c r="I83" s="91" t="s">
        <v>165</v>
      </c>
      <c r="J83" s="264" t="s">
        <v>426</v>
      </c>
    </row>
    <row r="84" spans="1:10" ht="15.75" customHeight="1" x14ac:dyDescent="0.25">
      <c r="A84" s="244" t="s">
        <v>407</v>
      </c>
      <c r="B84" s="215" t="s">
        <v>213</v>
      </c>
      <c r="C84" s="262" t="s">
        <v>628</v>
      </c>
      <c r="D84" s="262">
        <v>1</v>
      </c>
      <c r="E84" s="298">
        <v>0.83</v>
      </c>
      <c r="F84" s="263">
        <v>42104</v>
      </c>
      <c r="G84" s="249">
        <v>61594.18</v>
      </c>
      <c r="H84" s="293">
        <f t="shared" si="1"/>
        <v>3.3225251190905086E-5</v>
      </c>
      <c r="I84" s="91" t="s">
        <v>165</v>
      </c>
      <c r="J84" s="264" t="s">
        <v>427</v>
      </c>
    </row>
    <row r="85" spans="1:10" ht="15.75" customHeight="1" x14ac:dyDescent="0.25">
      <c r="A85" s="244" t="s">
        <v>408</v>
      </c>
      <c r="B85" s="215" t="s">
        <v>213</v>
      </c>
      <c r="C85" s="262" t="s">
        <v>628</v>
      </c>
      <c r="D85" s="262">
        <v>1</v>
      </c>
      <c r="E85" s="298">
        <v>0.96</v>
      </c>
      <c r="F85" s="263">
        <v>42570</v>
      </c>
      <c r="G85" s="249">
        <v>87031.48</v>
      </c>
      <c r="H85" s="293">
        <f t="shared" ref="H85:H139" si="2">E85/$B$4</f>
        <v>3.8429206196709495E-5</v>
      </c>
      <c r="I85" s="91" t="s">
        <v>165</v>
      </c>
      <c r="J85" s="264" t="s">
        <v>428</v>
      </c>
    </row>
    <row r="86" spans="1:10" ht="15.75" customHeight="1" x14ac:dyDescent="0.25">
      <c r="A86" s="244" t="s">
        <v>409</v>
      </c>
      <c r="B86" s="215" t="s">
        <v>213</v>
      </c>
      <c r="C86" s="262" t="s">
        <v>628</v>
      </c>
      <c r="D86" s="262">
        <v>1</v>
      </c>
      <c r="E86" s="296">
        <v>2.9782807498856885</v>
      </c>
      <c r="F86" s="263">
        <v>42585</v>
      </c>
      <c r="G86" s="249">
        <v>111846.75</v>
      </c>
      <c r="H86" s="293">
        <f t="shared" si="2"/>
        <v>1.1922183859275804E-4</v>
      </c>
      <c r="I86" s="91" t="s">
        <v>165</v>
      </c>
      <c r="J86" s="264" t="s">
        <v>429</v>
      </c>
    </row>
    <row r="87" spans="1:10" ht="15.75" customHeight="1" x14ac:dyDescent="0.25">
      <c r="A87" s="244" t="s">
        <v>410</v>
      </c>
      <c r="B87" s="215" t="s">
        <v>213</v>
      </c>
      <c r="C87" s="262" t="s">
        <v>628</v>
      </c>
      <c r="D87" s="262">
        <v>1</v>
      </c>
      <c r="E87" s="296">
        <v>0.60499999999999998</v>
      </c>
      <c r="F87" s="263">
        <v>42104</v>
      </c>
      <c r="G87" s="249">
        <v>27832</v>
      </c>
      <c r="H87" s="293">
        <f t="shared" si="2"/>
        <v>2.4218405988551298E-5</v>
      </c>
      <c r="I87" s="91" t="s">
        <v>165</v>
      </c>
      <c r="J87" s="264" t="s">
        <v>430</v>
      </c>
    </row>
    <row r="88" spans="1:10" ht="15.75" customHeight="1" x14ac:dyDescent="0.25">
      <c r="A88" s="244" t="s">
        <v>411</v>
      </c>
      <c r="B88" s="215" t="s">
        <v>213</v>
      </c>
      <c r="C88" s="262" t="s">
        <v>628</v>
      </c>
      <c r="D88" s="262">
        <v>1</v>
      </c>
      <c r="E88" s="296">
        <v>1.5775454545454546</v>
      </c>
      <c r="F88" s="263">
        <v>42597</v>
      </c>
      <c r="G88" s="249">
        <v>54234.13</v>
      </c>
      <c r="H88" s="293">
        <f t="shared" si="2"/>
        <v>6.3149812038967794E-5</v>
      </c>
      <c r="I88" s="91" t="s">
        <v>165</v>
      </c>
      <c r="J88" s="264" t="s">
        <v>431</v>
      </c>
    </row>
    <row r="89" spans="1:10" ht="15.75" customHeight="1" x14ac:dyDescent="0.25">
      <c r="A89" s="244" t="s">
        <v>171</v>
      </c>
      <c r="B89" s="215" t="s">
        <v>213</v>
      </c>
      <c r="C89" s="262" t="s">
        <v>628</v>
      </c>
      <c r="D89" s="262">
        <v>1</v>
      </c>
      <c r="E89" s="296">
        <v>0.35556940333385262</v>
      </c>
      <c r="F89" s="263">
        <v>42821</v>
      </c>
      <c r="G89" s="249">
        <v>76076.86</v>
      </c>
      <c r="H89" s="293">
        <f t="shared" si="2"/>
        <v>1.4233593664539155E-5</v>
      </c>
      <c r="I89" s="91" t="s">
        <v>165</v>
      </c>
      <c r="J89" s="264" t="s">
        <v>432</v>
      </c>
    </row>
    <row r="90" spans="1:10" ht="15.75" customHeight="1" x14ac:dyDescent="0.25">
      <c r="A90" s="244" t="s">
        <v>173</v>
      </c>
      <c r="B90" s="215" t="s">
        <v>213</v>
      </c>
      <c r="C90" s="262" t="s">
        <v>628</v>
      </c>
      <c r="D90" s="262">
        <v>1</v>
      </c>
      <c r="E90" s="296">
        <v>1.8155826859045503</v>
      </c>
      <c r="F90" s="263">
        <v>42662</v>
      </c>
      <c r="G90" s="249">
        <v>322362.21999999997</v>
      </c>
      <c r="H90" s="293">
        <f t="shared" si="2"/>
        <v>7.2678543128960017E-5</v>
      </c>
      <c r="I90" s="91" t="s">
        <v>165</v>
      </c>
      <c r="J90" s="264" t="s">
        <v>433</v>
      </c>
    </row>
    <row r="91" spans="1:10" ht="15.75" customHeight="1" x14ac:dyDescent="0.25">
      <c r="A91" s="244" t="s">
        <v>174</v>
      </c>
      <c r="B91" s="215" t="s">
        <v>213</v>
      </c>
      <c r="C91" s="262" t="s">
        <v>628</v>
      </c>
      <c r="D91" s="262">
        <v>1</v>
      </c>
      <c r="E91" s="296">
        <v>2.04</v>
      </c>
      <c r="F91" s="263">
        <v>42500</v>
      </c>
      <c r="G91" s="249">
        <v>101783.63</v>
      </c>
      <c r="H91" s="293">
        <f t="shared" si="2"/>
        <v>8.1662063168007681E-5</v>
      </c>
      <c r="I91" s="91" t="s">
        <v>165</v>
      </c>
      <c r="J91" s="264" t="s">
        <v>434</v>
      </c>
    </row>
    <row r="92" spans="1:10" ht="15.75" customHeight="1" x14ac:dyDescent="0.25">
      <c r="A92" s="244" t="s">
        <v>175</v>
      </c>
      <c r="B92" s="215" t="s">
        <v>213</v>
      </c>
      <c r="C92" s="262" t="s">
        <v>628</v>
      </c>
      <c r="D92" s="262">
        <v>1</v>
      </c>
      <c r="E92" s="298">
        <v>0.77</v>
      </c>
      <c r="F92" s="263">
        <v>43024</v>
      </c>
      <c r="G92" s="249">
        <v>111689.26</v>
      </c>
      <c r="H92" s="293">
        <f t="shared" si="2"/>
        <v>3.0823425803610747E-5</v>
      </c>
      <c r="I92" s="91" t="s">
        <v>165</v>
      </c>
      <c r="J92" s="264" t="s">
        <v>435</v>
      </c>
    </row>
    <row r="93" spans="1:10" ht="15.75" customHeight="1" x14ac:dyDescent="0.25">
      <c r="A93" s="244" t="s">
        <v>177</v>
      </c>
      <c r="B93" s="215" t="s">
        <v>213</v>
      </c>
      <c r="C93" s="262" t="s">
        <v>628</v>
      </c>
      <c r="D93" s="262">
        <v>1</v>
      </c>
      <c r="E93" s="298">
        <v>2.92</v>
      </c>
      <c r="F93" s="263">
        <v>42597</v>
      </c>
      <c r="G93" s="249">
        <v>367339.92</v>
      </c>
      <c r="H93" s="293">
        <f t="shared" si="2"/>
        <v>1.1688883551499139E-4</v>
      </c>
      <c r="I93" s="91" t="s">
        <v>165</v>
      </c>
      <c r="J93" s="264" t="s">
        <v>436</v>
      </c>
    </row>
    <row r="94" spans="1:10" ht="15.75" customHeight="1" x14ac:dyDescent="0.25">
      <c r="A94" s="244" t="s">
        <v>178</v>
      </c>
      <c r="B94" s="215" t="s">
        <v>213</v>
      </c>
      <c r="C94" s="262" t="s">
        <v>628</v>
      </c>
      <c r="D94" s="262">
        <v>1</v>
      </c>
      <c r="E94" s="296">
        <v>1.5590115961800819</v>
      </c>
      <c r="F94" s="263">
        <v>42821</v>
      </c>
      <c r="G94" s="249">
        <v>123546.87</v>
      </c>
      <c r="H94" s="293">
        <f t="shared" si="2"/>
        <v>6.2407893846526635E-5</v>
      </c>
      <c r="I94" s="91" t="s">
        <v>165</v>
      </c>
      <c r="J94" s="264" t="s">
        <v>437</v>
      </c>
    </row>
    <row r="95" spans="1:10" ht="15.75" customHeight="1" x14ac:dyDescent="0.25">
      <c r="A95" s="244" t="s">
        <v>180</v>
      </c>
      <c r="B95" s="215" t="s">
        <v>213</v>
      </c>
      <c r="C95" s="262" t="s">
        <v>628</v>
      </c>
      <c r="D95" s="262">
        <v>1</v>
      </c>
      <c r="E95" s="296">
        <v>12.840130365918046</v>
      </c>
      <c r="F95" s="263">
        <v>42457</v>
      </c>
      <c r="G95" s="249">
        <v>429619.27</v>
      </c>
      <c r="H95" s="293">
        <f t="shared" si="2"/>
        <v>5.1399585148384963E-4</v>
      </c>
      <c r="I95" s="91" t="s">
        <v>165</v>
      </c>
      <c r="J95" s="264" t="s">
        <v>438</v>
      </c>
    </row>
    <row r="96" spans="1:10" ht="15.75" customHeight="1" x14ac:dyDescent="0.25">
      <c r="A96" s="244" t="s">
        <v>181</v>
      </c>
      <c r="B96" s="215" t="s">
        <v>213</v>
      </c>
      <c r="C96" s="262" t="s">
        <v>628</v>
      </c>
      <c r="D96" s="262">
        <v>1</v>
      </c>
      <c r="E96" s="298">
        <v>3.01</v>
      </c>
      <c r="F96" s="263">
        <v>42570</v>
      </c>
      <c r="G96" s="249">
        <v>315316.47999999998</v>
      </c>
      <c r="H96" s="293">
        <f t="shared" si="2"/>
        <v>1.204915735959329E-4</v>
      </c>
      <c r="I96" s="91" t="s">
        <v>165</v>
      </c>
      <c r="J96" s="264" t="s">
        <v>439</v>
      </c>
    </row>
    <row r="97" spans="1:11" ht="15.75" customHeight="1" x14ac:dyDescent="0.25">
      <c r="A97" s="244" t="s">
        <v>182</v>
      </c>
      <c r="B97" s="215" t="s">
        <v>213</v>
      </c>
      <c r="C97" s="262" t="s">
        <v>628</v>
      </c>
      <c r="D97" s="262">
        <v>1</v>
      </c>
      <c r="E97" s="298">
        <v>11.8</v>
      </c>
      <c r="F97" s="263">
        <v>42570</v>
      </c>
      <c r="G97" s="249">
        <v>230836.48000000001</v>
      </c>
      <c r="H97" s="293">
        <f t="shared" si="2"/>
        <v>4.723589928345543E-4</v>
      </c>
      <c r="I97" s="91" t="s">
        <v>165</v>
      </c>
      <c r="J97" s="264" t="s">
        <v>440</v>
      </c>
    </row>
    <row r="98" spans="1:11" ht="15.75" customHeight="1" x14ac:dyDescent="0.25">
      <c r="A98" s="244" t="s">
        <v>183</v>
      </c>
      <c r="B98" s="215" t="s">
        <v>213</v>
      </c>
      <c r="C98" s="262" t="s">
        <v>628</v>
      </c>
      <c r="D98" s="262">
        <v>1</v>
      </c>
      <c r="E98" s="298">
        <v>1.66</v>
      </c>
      <c r="F98" s="263">
        <v>43052</v>
      </c>
      <c r="G98" s="249">
        <v>122001.74</v>
      </c>
      <c r="H98" s="293">
        <f t="shared" si="2"/>
        <v>6.6450502381810173E-5</v>
      </c>
      <c r="I98" s="91" t="s">
        <v>165</v>
      </c>
      <c r="J98" s="264" t="s">
        <v>441</v>
      </c>
    </row>
    <row r="99" spans="1:11" ht="15.75" customHeight="1" x14ac:dyDescent="0.25">
      <c r="A99" s="244" t="s">
        <v>186</v>
      </c>
      <c r="B99" s="215" t="s">
        <v>213</v>
      </c>
      <c r="C99" s="262" t="s">
        <v>628</v>
      </c>
      <c r="D99" s="262">
        <v>1</v>
      </c>
      <c r="E99" s="298">
        <v>1.2521739130434781</v>
      </c>
      <c r="F99" s="263">
        <v>43052</v>
      </c>
      <c r="G99" s="249">
        <v>70436.740000000005</v>
      </c>
      <c r="H99" s="293">
        <f t="shared" si="2"/>
        <v>5.0125051560925429E-5</v>
      </c>
      <c r="I99" s="91" t="s">
        <v>165</v>
      </c>
      <c r="J99" s="264" t="s">
        <v>442</v>
      </c>
    </row>
    <row r="100" spans="1:11" ht="15.75" customHeight="1" x14ac:dyDescent="0.25">
      <c r="A100" s="244" t="s">
        <v>187</v>
      </c>
      <c r="B100" s="215" t="s">
        <v>213</v>
      </c>
      <c r="C100" s="262" t="s">
        <v>628</v>
      </c>
      <c r="D100" s="262">
        <v>1</v>
      </c>
      <c r="E100" s="298">
        <v>0.77</v>
      </c>
      <c r="F100" s="263">
        <v>43052</v>
      </c>
      <c r="G100" s="249">
        <v>97871.74</v>
      </c>
      <c r="H100" s="293">
        <f t="shared" si="2"/>
        <v>3.0823425803610747E-5</v>
      </c>
      <c r="I100" s="91" t="s">
        <v>165</v>
      </c>
      <c r="J100" s="264" t="s">
        <v>443</v>
      </c>
    </row>
    <row r="101" spans="1:11" ht="15.75" customHeight="1" x14ac:dyDescent="0.25">
      <c r="A101" s="244" t="s">
        <v>188</v>
      </c>
      <c r="B101" s="215" t="s">
        <v>213</v>
      </c>
      <c r="C101" s="262" t="s">
        <v>628</v>
      </c>
      <c r="D101" s="262">
        <v>1</v>
      </c>
      <c r="E101" s="296">
        <v>3.0563508481588753</v>
      </c>
      <c r="F101" s="263">
        <v>42232</v>
      </c>
      <c r="G101" s="249">
        <v>393876.32</v>
      </c>
      <c r="H101" s="293">
        <f t="shared" si="2"/>
        <v>1.2234701765977645E-4</v>
      </c>
      <c r="I101" s="91" t="s">
        <v>165</v>
      </c>
      <c r="J101" s="264" t="s">
        <v>444</v>
      </c>
    </row>
    <row r="102" spans="1:11" ht="15.75" customHeight="1" x14ac:dyDescent="0.25">
      <c r="A102" s="244" t="s">
        <v>189</v>
      </c>
      <c r="B102" s="215" t="s">
        <v>213</v>
      </c>
      <c r="C102" s="262" t="s">
        <v>628</v>
      </c>
      <c r="D102" s="262">
        <v>1</v>
      </c>
      <c r="E102" s="296">
        <v>3.6598895479648199</v>
      </c>
      <c r="F102" s="263">
        <v>42562</v>
      </c>
      <c r="G102" s="249">
        <v>226547.69</v>
      </c>
      <c r="H102" s="293">
        <f t="shared" si="2"/>
        <v>1.4650692718325207E-4</v>
      </c>
      <c r="I102" s="91" t="s">
        <v>165</v>
      </c>
      <c r="J102" s="264" t="s">
        <v>445</v>
      </c>
    </row>
    <row r="103" spans="1:11" ht="15.75" customHeight="1" x14ac:dyDescent="0.25">
      <c r="A103" s="295" t="s">
        <v>190</v>
      </c>
      <c r="B103" s="215" t="s">
        <v>213</v>
      </c>
      <c r="C103" s="262" t="s">
        <v>628</v>
      </c>
      <c r="D103" s="262">
        <v>1</v>
      </c>
      <c r="E103" s="296">
        <v>3.2502446115676848</v>
      </c>
      <c r="F103" s="263">
        <v>42551</v>
      </c>
      <c r="G103" s="249">
        <v>371030.79</v>
      </c>
      <c r="H103" s="293">
        <f t="shared" si="2"/>
        <v>1.3010866704966513E-4</v>
      </c>
      <c r="I103" s="215" t="s">
        <v>165</v>
      </c>
      <c r="J103" s="264" t="s">
        <v>446</v>
      </c>
    </row>
    <row r="104" spans="1:11" ht="15.75" customHeight="1" x14ac:dyDescent="0.25">
      <c r="A104" s="99" t="s">
        <v>191</v>
      </c>
      <c r="B104" s="91" t="s">
        <v>213</v>
      </c>
      <c r="C104" s="92" t="s">
        <v>628</v>
      </c>
      <c r="D104" s="92">
        <v>1</v>
      </c>
      <c r="E104" s="297">
        <v>1.3579999999999999</v>
      </c>
      <c r="F104" s="108">
        <v>42662</v>
      </c>
      <c r="G104" s="26">
        <v>157043.18</v>
      </c>
      <c r="H104" s="293">
        <f t="shared" si="2"/>
        <v>5.4361314599095307E-5</v>
      </c>
      <c r="I104" s="91" t="s">
        <v>165</v>
      </c>
      <c r="J104" s="147" t="s">
        <v>447</v>
      </c>
    </row>
    <row r="105" spans="1:11" ht="15.75" customHeight="1" x14ac:dyDescent="0.25">
      <c r="A105" s="99" t="s">
        <v>192</v>
      </c>
      <c r="B105" s="91" t="s">
        <v>213</v>
      </c>
      <c r="C105" s="92" t="s">
        <v>628</v>
      </c>
      <c r="D105" s="92">
        <v>1</v>
      </c>
      <c r="E105" s="297">
        <v>1.1907505399568035</v>
      </c>
      <c r="F105" s="108">
        <v>42570</v>
      </c>
      <c r="G105" s="26">
        <v>84856.48</v>
      </c>
      <c r="H105" s="293">
        <f t="shared" si="2"/>
        <v>4.7666247946711638E-5</v>
      </c>
      <c r="I105" s="91" t="s">
        <v>165</v>
      </c>
      <c r="J105" s="147" t="s">
        <v>448</v>
      </c>
      <c r="K105" s="148"/>
    </row>
    <row r="106" spans="1:11" ht="15.75" customHeight="1" x14ac:dyDescent="0.25">
      <c r="A106" s="99" t="s">
        <v>193</v>
      </c>
      <c r="B106" s="91" t="s">
        <v>213</v>
      </c>
      <c r="C106" s="92" t="s">
        <v>628</v>
      </c>
      <c r="D106" s="92">
        <v>1</v>
      </c>
      <c r="E106" s="297">
        <v>0.381248097412481</v>
      </c>
      <c r="F106" s="108">
        <v>43021</v>
      </c>
      <c r="G106" s="26">
        <v>201415.26</v>
      </c>
      <c r="H106" s="293">
        <f t="shared" si="2"/>
        <v>1.5261522653716064E-5</v>
      </c>
      <c r="I106" s="91" t="s">
        <v>165</v>
      </c>
      <c r="J106" s="147" t="s">
        <v>449</v>
      </c>
    </row>
    <row r="107" spans="1:11" ht="15.75" customHeight="1" x14ac:dyDescent="0.25">
      <c r="A107" s="244" t="s">
        <v>194</v>
      </c>
      <c r="B107" s="215" t="s">
        <v>213</v>
      </c>
      <c r="C107" s="262" t="s">
        <v>628</v>
      </c>
      <c r="D107" s="262">
        <v>1</v>
      </c>
      <c r="E107" s="296">
        <v>2.4995763422818795</v>
      </c>
      <c r="F107" s="263">
        <v>42585</v>
      </c>
      <c r="G107" s="249">
        <v>103998.54</v>
      </c>
      <c r="H107" s="293">
        <f t="shared" si="2"/>
        <v>1.0005909860621591E-4</v>
      </c>
      <c r="I107" s="215" t="s">
        <v>165</v>
      </c>
      <c r="J107" s="264" t="s">
        <v>450</v>
      </c>
    </row>
    <row r="108" spans="1:11" ht="15.75" customHeight="1" x14ac:dyDescent="0.25">
      <c r="A108" s="244" t="s">
        <v>218</v>
      </c>
      <c r="B108" s="215" t="s">
        <v>213</v>
      </c>
      <c r="C108" s="262" t="s">
        <v>628</v>
      </c>
      <c r="D108" s="262">
        <v>1</v>
      </c>
      <c r="E108" s="296">
        <v>15.579704044019447</v>
      </c>
      <c r="F108" s="263">
        <v>42829</v>
      </c>
      <c r="G108" s="249">
        <v>400681.14</v>
      </c>
      <c r="H108" s="293">
        <f t="shared" si="2"/>
        <v>6.2366214499097103E-4</v>
      </c>
      <c r="I108" s="215" t="s">
        <v>165</v>
      </c>
      <c r="J108" s="264" t="s">
        <v>451</v>
      </c>
    </row>
    <row r="109" spans="1:11" ht="15.75" customHeight="1" x14ac:dyDescent="0.25">
      <c r="A109" s="244" t="s">
        <v>221</v>
      </c>
      <c r="B109" s="215" t="s">
        <v>213</v>
      </c>
      <c r="C109" s="262" t="s">
        <v>628</v>
      </c>
      <c r="D109" s="262">
        <v>1</v>
      </c>
      <c r="E109" s="298">
        <v>37.06</v>
      </c>
      <c r="F109" s="335">
        <v>42853</v>
      </c>
      <c r="G109" s="249">
        <v>754381</v>
      </c>
      <c r="H109" s="293">
        <f t="shared" si="2"/>
        <v>1.483527480885473E-3</v>
      </c>
      <c r="I109" s="215" t="s">
        <v>165</v>
      </c>
      <c r="J109" s="264" t="s">
        <v>452</v>
      </c>
    </row>
    <row r="110" spans="1:11" ht="15.75" customHeight="1" x14ac:dyDescent="0.25">
      <c r="A110" s="244" t="s">
        <v>223</v>
      </c>
      <c r="B110" s="215" t="s">
        <v>213</v>
      </c>
      <c r="C110" s="262" t="s">
        <v>628</v>
      </c>
      <c r="D110" s="262">
        <v>1</v>
      </c>
      <c r="E110" s="296">
        <v>4.232144704079678</v>
      </c>
      <c r="F110" s="263">
        <v>42885</v>
      </c>
      <c r="G110" s="249">
        <v>339092.33</v>
      </c>
      <c r="H110" s="293">
        <f t="shared" si="2"/>
        <v>1.6941454321603129E-4</v>
      </c>
      <c r="I110" s="215" t="s">
        <v>165</v>
      </c>
      <c r="J110" s="264" t="s">
        <v>453</v>
      </c>
    </row>
    <row r="111" spans="1:11" ht="15.75" customHeight="1" x14ac:dyDescent="0.25">
      <c r="A111" s="244" t="s">
        <v>224</v>
      </c>
      <c r="B111" s="215" t="s">
        <v>213</v>
      </c>
      <c r="C111" s="262" t="s">
        <v>628</v>
      </c>
      <c r="D111" s="262">
        <v>1</v>
      </c>
      <c r="E111" s="296">
        <v>13.354521253886533</v>
      </c>
      <c r="F111" s="263">
        <v>42665</v>
      </c>
      <c r="G111" s="249">
        <v>455727</v>
      </c>
      <c r="H111" s="293">
        <f t="shared" si="2"/>
        <v>5.345871363791095E-4</v>
      </c>
      <c r="I111" s="215" t="s">
        <v>165</v>
      </c>
      <c r="J111" s="264" t="s">
        <v>454</v>
      </c>
    </row>
    <row r="112" spans="1:11" ht="15.75" customHeight="1" x14ac:dyDescent="0.25">
      <c r="A112" s="244" t="s">
        <v>227</v>
      </c>
      <c r="B112" s="215" t="s">
        <v>213</v>
      </c>
      <c r="C112" s="262" t="s">
        <v>628</v>
      </c>
      <c r="D112" s="262">
        <v>1</v>
      </c>
      <c r="E112" s="298">
        <v>4.46</v>
      </c>
      <c r="F112" s="263">
        <v>43048</v>
      </c>
      <c r="G112" s="249">
        <v>312397.7</v>
      </c>
      <c r="H112" s="293">
        <f t="shared" si="2"/>
        <v>1.7853568712221287E-4</v>
      </c>
      <c r="I112" s="215" t="s">
        <v>165</v>
      </c>
      <c r="J112" s="264" t="s">
        <v>455</v>
      </c>
    </row>
    <row r="113" spans="1:15" ht="15.75" customHeight="1" x14ac:dyDescent="0.25">
      <c r="A113" s="244" t="s">
        <v>230</v>
      </c>
      <c r="B113" s="215" t="s">
        <v>213</v>
      </c>
      <c r="C113" s="262" t="s">
        <v>628</v>
      </c>
      <c r="D113" s="262">
        <v>1</v>
      </c>
      <c r="E113" s="298">
        <v>3.36</v>
      </c>
      <c r="F113" s="263">
        <v>43048</v>
      </c>
      <c r="G113" s="249">
        <v>249582.62</v>
      </c>
      <c r="H113" s="293">
        <f t="shared" si="2"/>
        <v>1.3450222168848324E-4</v>
      </c>
      <c r="I113" s="215" t="s">
        <v>165</v>
      </c>
      <c r="J113" s="264" t="s">
        <v>456</v>
      </c>
    </row>
    <row r="114" spans="1:15" ht="15.75" customHeight="1" x14ac:dyDescent="0.25">
      <c r="A114" s="244" t="s">
        <v>237</v>
      </c>
      <c r="B114" s="215" t="s">
        <v>213</v>
      </c>
      <c r="C114" s="262" t="s">
        <v>628</v>
      </c>
      <c r="D114" s="262">
        <v>1</v>
      </c>
      <c r="E114" s="296">
        <v>10.908182801964539</v>
      </c>
      <c r="F114" s="263">
        <v>41082</v>
      </c>
      <c r="G114" s="249">
        <v>324786.83</v>
      </c>
      <c r="H114" s="293">
        <f t="shared" si="2"/>
        <v>4.3665917305009964E-4</v>
      </c>
      <c r="I114" s="215" t="s">
        <v>165</v>
      </c>
      <c r="J114" s="264" t="s">
        <v>342</v>
      </c>
    </row>
    <row r="115" spans="1:15" ht="15.75" customHeight="1" x14ac:dyDescent="0.25">
      <c r="A115" s="244" t="s">
        <v>170</v>
      </c>
      <c r="B115" s="215" t="s">
        <v>213</v>
      </c>
      <c r="C115" s="262" t="s">
        <v>628</v>
      </c>
      <c r="D115" s="262">
        <v>1</v>
      </c>
      <c r="E115" s="296">
        <v>2.4808988764044946</v>
      </c>
      <c r="F115" s="263">
        <v>42905</v>
      </c>
      <c r="G115" s="249">
        <v>120099.94500000001</v>
      </c>
      <c r="H115" s="293">
        <f t="shared" si="2"/>
        <v>9.9311431744305453E-5</v>
      </c>
      <c r="I115" s="215" t="s">
        <v>165</v>
      </c>
      <c r="J115" s="264" t="s">
        <v>274</v>
      </c>
      <c r="N115" s="344"/>
      <c r="O115" s="148"/>
    </row>
    <row r="116" spans="1:15" ht="15.75" customHeight="1" x14ac:dyDescent="0.25">
      <c r="A116" s="244" t="s">
        <v>457</v>
      </c>
      <c r="B116" s="215" t="s">
        <v>158</v>
      </c>
      <c r="C116" s="262" t="s">
        <v>628</v>
      </c>
      <c r="D116" s="262">
        <v>1</v>
      </c>
      <c r="E116" s="298">
        <v>0.12</v>
      </c>
      <c r="F116" s="263">
        <v>41969</v>
      </c>
      <c r="G116" s="249">
        <v>69804.722891566256</v>
      </c>
      <c r="H116" s="293">
        <f t="shared" si="2"/>
        <v>4.8036507745886868E-6</v>
      </c>
      <c r="I116" s="215" t="s">
        <v>165</v>
      </c>
      <c r="J116" s="264" t="s">
        <v>463</v>
      </c>
      <c r="N116" s="340"/>
    </row>
    <row r="117" spans="1:15" s="24" customFormat="1" ht="15.75" customHeight="1" x14ac:dyDescent="0.25">
      <c r="A117" s="323" t="s">
        <v>458</v>
      </c>
      <c r="B117" s="341" t="s">
        <v>158</v>
      </c>
      <c r="C117" s="262" t="s">
        <v>628</v>
      </c>
      <c r="D117" s="214">
        <v>1</v>
      </c>
      <c r="E117" s="298">
        <v>0.12</v>
      </c>
      <c r="F117" s="335">
        <v>41969</v>
      </c>
      <c r="G117" s="239">
        <v>69804.722891566256</v>
      </c>
      <c r="H117" s="342">
        <v>4.0940261335334858E-6</v>
      </c>
      <c r="I117" s="341" t="s">
        <v>165</v>
      </c>
      <c r="J117" s="324" t="s">
        <v>464</v>
      </c>
      <c r="N117" s="176"/>
    </row>
    <row r="118" spans="1:15" ht="15.75" customHeight="1" x14ac:dyDescent="0.25">
      <c r="A118" s="244" t="s">
        <v>459</v>
      </c>
      <c r="B118" s="215" t="s">
        <v>158</v>
      </c>
      <c r="C118" s="262" t="s">
        <v>628</v>
      </c>
      <c r="D118" s="262">
        <v>1</v>
      </c>
      <c r="E118" s="296">
        <v>2.5754355479328397</v>
      </c>
      <c r="F118" s="263">
        <v>42585</v>
      </c>
      <c r="G118" s="239">
        <v>160093.12</v>
      </c>
      <c r="H118" s="293">
        <f t="shared" si="2"/>
        <v>1.0309577470609021E-4</v>
      </c>
      <c r="I118" s="215" t="s">
        <v>165</v>
      </c>
      <c r="J118" s="264" t="s">
        <v>465</v>
      </c>
      <c r="N118" s="24"/>
    </row>
    <row r="119" spans="1:15" ht="15.75" customHeight="1" x14ac:dyDescent="0.25">
      <c r="A119" s="244" t="s">
        <v>460</v>
      </c>
      <c r="B119" s="215" t="s">
        <v>158</v>
      </c>
      <c r="C119" s="262" t="s">
        <v>628</v>
      </c>
      <c r="D119" s="262">
        <v>1</v>
      </c>
      <c r="E119" s="296">
        <v>0.59235927406951705</v>
      </c>
      <c r="F119" s="263">
        <v>42095</v>
      </c>
      <c r="G119" s="249">
        <v>401213.3</v>
      </c>
      <c r="H119" s="293">
        <f t="shared" si="2"/>
        <v>2.3712392380990234E-5</v>
      </c>
      <c r="I119" s="215" t="s">
        <v>165</v>
      </c>
      <c r="J119" s="264" t="s">
        <v>472</v>
      </c>
    </row>
    <row r="120" spans="1:15" ht="15.75" customHeight="1" x14ac:dyDescent="0.25">
      <c r="A120" s="244" t="s">
        <v>461</v>
      </c>
      <c r="B120" s="215" t="s">
        <v>158</v>
      </c>
      <c r="C120" s="262" t="s">
        <v>628</v>
      </c>
      <c r="D120" s="262">
        <v>1</v>
      </c>
      <c r="E120" s="296">
        <v>7.9306247904988769</v>
      </c>
      <c r="F120" s="263">
        <v>42179</v>
      </c>
      <c r="G120" s="249">
        <v>385001.31</v>
      </c>
      <c r="H120" s="293">
        <f t="shared" si="2"/>
        <v>3.174662659821015E-4</v>
      </c>
      <c r="I120" s="215" t="s">
        <v>165</v>
      </c>
      <c r="J120" s="264" t="s">
        <v>473</v>
      </c>
    </row>
    <row r="121" spans="1:15" ht="15.75" customHeight="1" x14ac:dyDescent="0.25">
      <c r="A121" s="244" t="s">
        <v>462</v>
      </c>
      <c r="B121" s="215" t="s">
        <v>158</v>
      </c>
      <c r="C121" s="262" t="s">
        <v>628</v>
      </c>
      <c r="D121" s="262">
        <v>1</v>
      </c>
      <c r="E121" s="296">
        <v>19.120707545424271</v>
      </c>
      <c r="F121" s="263">
        <v>42585</v>
      </c>
      <c r="G121" s="249">
        <v>248435.07405405404</v>
      </c>
      <c r="H121" s="293">
        <f t="shared" si="2"/>
        <v>7.654100134271755E-4</v>
      </c>
      <c r="I121" s="215" t="s">
        <v>165</v>
      </c>
      <c r="J121" s="264" t="s">
        <v>474</v>
      </c>
    </row>
    <row r="122" spans="1:15" ht="15.75" customHeight="1" x14ac:dyDescent="0.25">
      <c r="A122" s="244" t="s">
        <v>179</v>
      </c>
      <c r="B122" s="215" t="s">
        <v>158</v>
      </c>
      <c r="C122" s="262" t="s">
        <v>628</v>
      </c>
      <c r="D122" s="262">
        <v>1</v>
      </c>
      <c r="E122" s="296">
        <v>14.635368554254985</v>
      </c>
      <c r="F122" s="263">
        <v>42417</v>
      </c>
      <c r="G122" s="249">
        <v>328074.13</v>
      </c>
      <c r="H122" s="293">
        <f t="shared" si="2"/>
        <v>5.8585999576698231E-4</v>
      </c>
      <c r="I122" s="215" t="s">
        <v>165</v>
      </c>
      <c r="J122" s="264" t="s">
        <v>314</v>
      </c>
    </row>
    <row r="123" spans="1:15" ht="15.75" customHeight="1" x14ac:dyDescent="0.25">
      <c r="A123" s="244" t="s">
        <v>196</v>
      </c>
      <c r="B123" s="215" t="s">
        <v>158</v>
      </c>
      <c r="C123" s="262" t="s">
        <v>628</v>
      </c>
      <c r="D123" s="262">
        <v>1</v>
      </c>
      <c r="E123" s="298">
        <v>2.46</v>
      </c>
      <c r="F123" s="263">
        <v>42433</v>
      </c>
      <c r="G123" s="249">
        <v>742448.67</v>
      </c>
      <c r="H123" s="293">
        <f t="shared" si="2"/>
        <v>9.8474840879068096E-5</v>
      </c>
      <c r="I123" s="215" t="s">
        <v>165</v>
      </c>
      <c r="J123" s="264" t="s">
        <v>317</v>
      </c>
      <c r="N123" s="336"/>
    </row>
    <row r="124" spans="1:15" ht="15.75" customHeight="1" x14ac:dyDescent="0.25">
      <c r="A124" s="244" t="s">
        <v>197</v>
      </c>
      <c r="B124" s="215" t="s">
        <v>158</v>
      </c>
      <c r="C124" s="262" t="s">
        <v>628</v>
      </c>
      <c r="D124" s="262">
        <v>1</v>
      </c>
      <c r="E124" s="296">
        <v>0.86499999999999999</v>
      </c>
      <c r="F124" s="263">
        <v>42416</v>
      </c>
      <c r="G124" s="249">
        <v>360491.6</v>
      </c>
      <c r="H124" s="293">
        <f t="shared" si="2"/>
        <v>3.4626316000160124E-5</v>
      </c>
      <c r="I124" s="215" t="s">
        <v>165</v>
      </c>
      <c r="J124" s="264" t="s">
        <v>318</v>
      </c>
    </row>
    <row r="125" spans="1:15" ht="15.75" customHeight="1" x14ac:dyDescent="0.25">
      <c r="A125" s="244" t="s">
        <v>198</v>
      </c>
      <c r="B125" s="215" t="s">
        <v>158</v>
      </c>
      <c r="C125" s="262" t="s">
        <v>628</v>
      </c>
      <c r="D125" s="262">
        <v>1</v>
      </c>
      <c r="E125" s="296">
        <v>1.6095670928286068</v>
      </c>
      <c r="F125" s="263">
        <v>42314</v>
      </c>
      <c r="G125" s="249">
        <v>384848.78</v>
      </c>
      <c r="H125" s="293">
        <f t="shared" si="2"/>
        <v>6.4431651768488322E-5</v>
      </c>
      <c r="I125" s="215" t="s">
        <v>165</v>
      </c>
      <c r="J125" s="264" t="s">
        <v>319</v>
      </c>
    </row>
    <row r="126" spans="1:15" ht="15.75" customHeight="1" x14ac:dyDescent="0.25">
      <c r="A126" s="244" t="s">
        <v>199</v>
      </c>
      <c r="B126" s="215" t="s">
        <v>158</v>
      </c>
      <c r="C126" s="262" t="s">
        <v>628</v>
      </c>
      <c r="D126" s="262">
        <v>1</v>
      </c>
      <c r="E126" s="296">
        <v>1.0436195508586525</v>
      </c>
      <c r="F126" s="263">
        <v>42290</v>
      </c>
      <c r="G126" s="249">
        <v>55494</v>
      </c>
      <c r="H126" s="293">
        <f t="shared" si="2"/>
        <v>4.1776532198817203E-5</v>
      </c>
      <c r="I126" s="215" t="s">
        <v>165</v>
      </c>
      <c r="J126" s="264" t="s">
        <v>320</v>
      </c>
    </row>
    <row r="127" spans="1:15" ht="15.75" customHeight="1" x14ac:dyDescent="0.25">
      <c r="A127" s="244" t="s">
        <v>200</v>
      </c>
      <c r="B127" s="215" t="s">
        <v>158</v>
      </c>
      <c r="C127" s="262" t="s">
        <v>628</v>
      </c>
      <c r="D127" s="262">
        <v>1</v>
      </c>
      <c r="E127" s="296">
        <v>7.85</v>
      </c>
      <c r="F127" s="263">
        <v>42551</v>
      </c>
      <c r="G127" s="249">
        <v>100000</v>
      </c>
      <c r="H127" s="293">
        <f t="shared" si="2"/>
        <v>3.1423882150434328E-4</v>
      </c>
      <c r="I127" s="215" t="s">
        <v>165</v>
      </c>
      <c r="J127" s="264" t="s">
        <v>321</v>
      </c>
    </row>
    <row r="128" spans="1:15" ht="15.75" customHeight="1" x14ac:dyDescent="0.25">
      <c r="A128" s="244" t="s">
        <v>201</v>
      </c>
      <c r="B128" s="215" t="s">
        <v>158</v>
      </c>
      <c r="C128" s="262" t="s">
        <v>628</v>
      </c>
      <c r="D128" s="262">
        <v>1</v>
      </c>
      <c r="E128" s="298">
        <v>0.47</v>
      </c>
      <c r="F128" s="263">
        <v>42309</v>
      </c>
      <c r="G128" s="249">
        <v>0</v>
      </c>
      <c r="H128" s="293">
        <f t="shared" si="2"/>
        <v>1.8814298867139024E-5</v>
      </c>
      <c r="I128" s="215" t="s">
        <v>165</v>
      </c>
      <c r="J128" s="264" t="s">
        <v>322</v>
      </c>
      <c r="N128" s="336"/>
    </row>
    <row r="129" spans="1:14" ht="15.75" customHeight="1" x14ac:dyDescent="0.25">
      <c r="A129" s="244" t="s">
        <v>202</v>
      </c>
      <c r="B129" s="215" t="s">
        <v>158</v>
      </c>
      <c r="C129" s="262" t="s">
        <v>628</v>
      </c>
      <c r="D129" s="262">
        <v>1</v>
      </c>
      <c r="E129" s="296">
        <v>2.2083952425239421</v>
      </c>
      <c r="F129" s="263">
        <v>42366</v>
      </c>
      <c r="G129" s="249">
        <v>0</v>
      </c>
      <c r="H129" s="293">
        <f t="shared" si="2"/>
        <v>8.8402995977900886E-5</v>
      </c>
      <c r="I129" s="215" t="s">
        <v>165</v>
      </c>
      <c r="J129" s="264" t="s">
        <v>323</v>
      </c>
    </row>
    <row r="130" spans="1:14" ht="15.75" customHeight="1" x14ac:dyDescent="0.25">
      <c r="A130" s="244" t="s">
        <v>211</v>
      </c>
      <c r="B130" s="215" t="s">
        <v>158</v>
      </c>
      <c r="C130" s="262" t="s">
        <v>628</v>
      </c>
      <c r="D130" s="262">
        <v>1</v>
      </c>
      <c r="E130" s="296">
        <v>3.4108904548366428</v>
      </c>
      <c r="F130" s="263">
        <v>42353</v>
      </c>
      <c r="G130" s="249">
        <v>0</v>
      </c>
      <c r="H130" s="293">
        <f t="shared" si="2"/>
        <v>1.3653938812844334E-4</v>
      </c>
      <c r="I130" s="215" t="s">
        <v>165</v>
      </c>
      <c r="J130" s="264" t="s">
        <v>330</v>
      </c>
    </row>
    <row r="131" spans="1:14" ht="15.75" customHeight="1" x14ac:dyDescent="0.25">
      <c r="A131" s="244" t="s">
        <v>212</v>
      </c>
      <c r="B131" s="215" t="s">
        <v>158</v>
      </c>
      <c r="C131" s="262" t="s">
        <v>628</v>
      </c>
      <c r="D131" s="262">
        <v>1</v>
      </c>
      <c r="E131" s="296">
        <v>3.2656451612903226</v>
      </c>
      <c r="F131" s="263">
        <v>42072</v>
      </c>
      <c r="G131" s="249">
        <v>0</v>
      </c>
      <c r="H131" s="293">
        <f t="shared" si="2"/>
        <v>1.3072515757136713E-4</v>
      </c>
      <c r="I131" s="215" t="s">
        <v>165</v>
      </c>
      <c r="J131" s="264" t="s">
        <v>331</v>
      </c>
    </row>
    <row r="132" spans="1:14" ht="15.75" customHeight="1" x14ac:dyDescent="0.25">
      <c r="A132" s="244" t="s">
        <v>219</v>
      </c>
      <c r="B132" s="215" t="s">
        <v>158</v>
      </c>
      <c r="C132" s="262" t="s">
        <v>628</v>
      </c>
      <c r="D132" s="262">
        <v>1</v>
      </c>
      <c r="E132" s="298">
        <v>2.98</v>
      </c>
      <c r="F132" s="263">
        <v>43024</v>
      </c>
      <c r="G132" s="249">
        <v>310116.94</v>
      </c>
      <c r="H132" s="293">
        <f t="shared" si="2"/>
        <v>1.1929066090228573E-4</v>
      </c>
      <c r="I132" s="215" t="s">
        <v>165</v>
      </c>
      <c r="J132" s="264" t="s">
        <v>332</v>
      </c>
    </row>
    <row r="133" spans="1:14" ht="15.75" customHeight="1" x14ac:dyDescent="0.25">
      <c r="A133" s="244" t="s">
        <v>234</v>
      </c>
      <c r="B133" s="215" t="s">
        <v>158</v>
      </c>
      <c r="C133" s="262" t="s">
        <v>628</v>
      </c>
      <c r="D133" s="262">
        <v>1</v>
      </c>
      <c r="E133" s="298">
        <v>8.617110039535163</v>
      </c>
      <c r="F133" s="263">
        <v>42840</v>
      </c>
      <c r="G133" s="249">
        <v>485312.21</v>
      </c>
      <c r="H133" s="293">
        <f t="shared" si="2"/>
        <v>3.4494656096774199E-4</v>
      </c>
      <c r="I133" s="215" t="s">
        <v>165</v>
      </c>
      <c r="J133" s="264" t="s">
        <v>339</v>
      </c>
    </row>
    <row r="134" spans="1:14" ht="15.75" customHeight="1" x14ac:dyDescent="0.25">
      <c r="A134" s="244" t="s">
        <v>238</v>
      </c>
      <c r="B134" s="215" t="s">
        <v>158</v>
      </c>
      <c r="C134" s="262" t="s">
        <v>628</v>
      </c>
      <c r="D134" s="262">
        <v>1</v>
      </c>
      <c r="E134" s="298">
        <v>3.7995387174591069</v>
      </c>
      <c r="F134" s="263">
        <v>41513</v>
      </c>
      <c r="G134" s="249">
        <v>267991.92</v>
      </c>
      <c r="H134" s="293">
        <f t="shared" si="2"/>
        <v>1.5209714252668456E-4</v>
      </c>
      <c r="I134" s="215" t="s">
        <v>165</v>
      </c>
      <c r="J134" s="264" t="s">
        <v>343</v>
      </c>
    </row>
    <row r="135" spans="1:14" ht="15.75" customHeight="1" x14ac:dyDescent="0.25">
      <c r="A135" s="244" t="s">
        <v>239</v>
      </c>
      <c r="B135" s="215" t="s">
        <v>158</v>
      </c>
      <c r="C135" s="262" t="s">
        <v>628</v>
      </c>
      <c r="D135" s="262">
        <v>1</v>
      </c>
      <c r="E135" s="298">
        <v>4.2091990980421778</v>
      </c>
      <c r="F135" s="263">
        <v>42152</v>
      </c>
      <c r="G135" s="249">
        <v>425189.03</v>
      </c>
      <c r="H135" s="293">
        <f t="shared" si="2"/>
        <v>1.6849602089756926E-4</v>
      </c>
      <c r="I135" s="215" t="s">
        <v>165</v>
      </c>
      <c r="J135" s="264" t="s">
        <v>344</v>
      </c>
    </row>
    <row r="136" spans="1:14" ht="15.75" customHeight="1" x14ac:dyDescent="0.25">
      <c r="A136" s="244" t="s">
        <v>240</v>
      </c>
      <c r="B136" s="215" t="s">
        <v>158</v>
      </c>
      <c r="C136" s="262" t="s">
        <v>628</v>
      </c>
      <c r="D136" s="262">
        <v>1</v>
      </c>
      <c r="E136" s="298">
        <v>3.0227431421446389</v>
      </c>
      <c r="F136" s="263">
        <v>41820</v>
      </c>
      <c r="G136" s="249">
        <v>114083.34</v>
      </c>
      <c r="H136" s="293">
        <f t="shared" si="2"/>
        <v>1.2100168696788114E-4</v>
      </c>
      <c r="I136" s="215" t="s">
        <v>165</v>
      </c>
      <c r="J136" s="264" t="s">
        <v>345</v>
      </c>
    </row>
    <row r="137" spans="1:14" ht="15.75" customHeight="1" x14ac:dyDescent="0.25">
      <c r="A137" s="244" t="s">
        <v>251</v>
      </c>
      <c r="B137" s="215" t="s">
        <v>158</v>
      </c>
      <c r="C137" s="262" t="s">
        <v>628</v>
      </c>
      <c r="D137" s="262">
        <v>1</v>
      </c>
      <c r="E137" s="298">
        <v>0.4285714285714286</v>
      </c>
      <c r="F137" s="263">
        <v>42795</v>
      </c>
      <c r="G137" s="249">
        <v>102390</v>
      </c>
      <c r="H137" s="293">
        <f t="shared" si="2"/>
        <v>1.7155895623531028E-5</v>
      </c>
      <c r="I137" s="215" t="s">
        <v>165</v>
      </c>
      <c r="J137" s="264" t="s">
        <v>357</v>
      </c>
    </row>
    <row r="138" spans="1:14" ht="15.75" customHeight="1" x14ac:dyDescent="0.25">
      <c r="A138" s="244" t="s">
        <v>252</v>
      </c>
      <c r="B138" s="215" t="s">
        <v>158</v>
      </c>
      <c r="C138" s="262" t="s">
        <v>628</v>
      </c>
      <c r="D138" s="262">
        <v>1</v>
      </c>
      <c r="E138" s="298">
        <v>0.26086649509726761</v>
      </c>
      <c r="F138" s="263">
        <v>42736</v>
      </c>
      <c r="G138" s="249">
        <v>55255</v>
      </c>
      <c r="H138" s="293">
        <f t="shared" si="2"/>
        <v>1.0442596176985213E-5</v>
      </c>
      <c r="I138" s="215" t="s">
        <v>165</v>
      </c>
      <c r="J138" s="264" t="s">
        <v>358</v>
      </c>
    </row>
    <row r="139" spans="1:14" ht="15.75" customHeight="1" x14ac:dyDescent="0.25">
      <c r="A139" s="244" t="s">
        <v>148</v>
      </c>
      <c r="B139" s="215" t="s">
        <v>158</v>
      </c>
      <c r="C139" s="262" t="s">
        <v>628</v>
      </c>
      <c r="D139" s="262">
        <v>1</v>
      </c>
      <c r="E139" s="298">
        <v>2.0859999999999999</v>
      </c>
      <c r="F139" s="263">
        <v>43203</v>
      </c>
      <c r="G139" s="249">
        <v>201549.05</v>
      </c>
      <c r="H139" s="293">
        <f t="shared" si="2"/>
        <v>8.3503462631600011E-5</v>
      </c>
      <c r="I139" s="215" t="s">
        <v>165</v>
      </c>
      <c r="J139" s="264" t="s">
        <v>361</v>
      </c>
    </row>
    <row r="140" spans="1:14" ht="17.25" customHeight="1" x14ac:dyDescent="0.25">
      <c r="A140" s="244" t="s">
        <v>151</v>
      </c>
      <c r="B140" s="215" t="s">
        <v>158</v>
      </c>
      <c r="C140" s="262" t="s">
        <v>628</v>
      </c>
      <c r="D140" s="262">
        <v>1</v>
      </c>
      <c r="E140" s="298">
        <v>1.44</v>
      </c>
      <c r="F140" s="263">
        <v>43068</v>
      </c>
      <c r="G140" s="249">
        <v>299953</v>
      </c>
      <c r="H140" s="293">
        <f t="shared" ref="H140:H174" si="3">E140/$B$4</f>
        <v>5.7643809295064249E-5</v>
      </c>
      <c r="I140" s="215" t="s">
        <v>165</v>
      </c>
      <c r="J140" s="264" t="s">
        <v>364</v>
      </c>
      <c r="N140" s="337"/>
    </row>
    <row r="141" spans="1:14" ht="15.75" customHeight="1" x14ac:dyDescent="0.25">
      <c r="A141" s="244" t="s">
        <v>153</v>
      </c>
      <c r="B141" s="215" t="s">
        <v>158</v>
      </c>
      <c r="C141" s="262" t="s">
        <v>628</v>
      </c>
      <c r="D141" s="262">
        <v>1</v>
      </c>
      <c r="E141" s="298">
        <v>1.4745249520153552</v>
      </c>
      <c r="F141" s="263">
        <v>43159</v>
      </c>
      <c r="G141" s="249">
        <v>121366</v>
      </c>
      <c r="H141" s="293">
        <f t="shared" si="3"/>
        <v>5.90258577324909E-5</v>
      </c>
      <c r="I141" s="215" t="s">
        <v>165</v>
      </c>
      <c r="J141" s="264" t="s">
        <v>363</v>
      </c>
    </row>
    <row r="142" spans="1:14" ht="15.75" customHeight="1" x14ac:dyDescent="0.25">
      <c r="A142" s="244" t="s">
        <v>166</v>
      </c>
      <c r="B142" s="215" t="s">
        <v>158</v>
      </c>
      <c r="C142" s="262" t="s">
        <v>628</v>
      </c>
      <c r="D142" s="262">
        <v>1</v>
      </c>
      <c r="E142" s="298">
        <v>4.6628003314001667</v>
      </c>
      <c r="F142" s="263">
        <v>43077</v>
      </c>
      <c r="G142" s="249">
        <v>559092.81000000006</v>
      </c>
      <c r="H142" s="293">
        <f t="shared" si="3"/>
        <v>1.8665387019735667E-4</v>
      </c>
      <c r="I142" s="215" t="s">
        <v>165</v>
      </c>
      <c r="J142" s="264" t="s">
        <v>368</v>
      </c>
    </row>
    <row r="143" spans="1:14" ht="15.75" customHeight="1" x14ac:dyDescent="0.25">
      <c r="A143" s="244" t="s">
        <v>169</v>
      </c>
      <c r="B143" s="215" t="s">
        <v>158</v>
      </c>
      <c r="C143" s="262" t="s">
        <v>628</v>
      </c>
      <c r="D143" s="262">
        <v>1</v>
      </c>
      <c r="E143" s="298">
        <v>3.6786838417147569</v>
      </c>
      <c r="F143" s="263">
        <v>43152</v>
      </c>
      <c r="G143" s="249">
        <v>830487.42999999993</v>
      </c>
      <c r="H143" s="293">
        <f t="shared" si="3"/>
        <v>1.4725927071433317E-4</v>
      </c>
      <c r="I143" s="215" t="s">
        <v>165</v>
      </c>
      <c r="J143" s="264" t="s">
        <v>369</v>
      </c>
    </row>
    <row r="144" spans="1:14" ht="15.75" customHeight="1" x14ac:dyDescent="0.25">
      <c r="A144" s="244" t="s">
        <v>258</v>
      </c>
      <c r="B144" s="215" t="s">
        <v>158</v>
      </c>
      <c r="C144" s="262" t="s">
        <v>628</v>
      </c>
      <c r="D144" s="262">
        <v>1</v>
      </c>
      <c r="E144" s="298">
        <v>5.35</v>
      </c>
      <c r="F144" s="263">
        <v>43221</v>
      </c>
      <c r="G144" s="249">
        <v>198950</v>
      </c>
      <c r="H144" s="293">
        <f t="shared" si="3"/>
        <v>2.1416276370041229E-4</v>
      </c>
      <c r="I144" s="215" t="s">
        <v>165</v>
      </c>
      <c r="J144" s="264" t="s">
        <v>265</v>
      </c>
    </row>
    <row r="145" spans="1:15" ht="15.75" customHeight="1" x14ac:dyDescent="0.25">
      <c r="A145" s="244" t="s">
        <v>374</v>
      </c>
      <c r="B145" s="215" t="s">
        <v>158</v>
      </c>
      <c r="C145" s="262" t="s">
        <v>628</v>
      </c>
      <c r="D145" s="262">
        <v>1</v>
      </c>
      <c r="E145" s="298">
        <v>0.58863759925711068</v>
      </c>
      <c r="F145" s="263">
        <v>43235</v>
      </c>
      <c r="G145" s="249">
        <v>100000</v>
      </c>
      <c r="H145" s="293">
        <f t="shared" si="3"/>
        <v>2.3563412163528708E-5</v>
      </c>
      <c r="I145" s="215" t="s">
        <v>165</v>
      </c>
      <c r="J145" s="264" t="s">
        <v>276</v>
      </c>
    </row>
    <row r="146" spans="1:15" ht="15.75" customHeight="1" x14ac:dyDescent="0.25">
      <c r="A146" s="244" t="s">
        <v>275</v>
      </c>
      <c r="B146" s="215" t="s">
        <v>158</v>
      </c>
      <c r="C146" s="262" t="s">
        <v>628</v>
      </c>
      <c r="D146" s="262">
        <v>1</v>
      </c>
      <c r="E146" s="298">
        <v>3.91</v>
      </c>
      <c r="F146" s="263">
        <v>42864</v>
      </c>
      <c r="G146" s="249">
        <v>524578.69999999995</v>
      </c>
      <c r="H146" s="293">
        <f t="shared" si="3"/>
        <v>1.5651895440534807E-4</v>
      </c>
      <c r="I146" s="215" t="s">
        <v>165</v>
      </c>
      <c r="J146" s="264" t="s">
        <v>277</v>
      </c>
      <c r="M146" s="11"/>
    </row>
    <row r="147" spans="1:15" ht="16.5" customHeight="1" x14ac:dyDescent="0.25">
      <c r="A147" s="244" t="s">
        <v>625</v>
      </c>
      <c r="B147" s="215" t="s">
        <v>158</v>
      </c>
      <c r="C147" s="262" t="s">
        <v>628</v>
      </c>
      <c r="D147" s="262">
        <v>1</v>
      </c>
      <c r="E147" s="298">
        <v>0.24</v>
      </c>
      <c r="F147" s="335">
        <v>41699</v>
      </c>
      <c r="G147" s="249">
        <v>0</v>
      </c>
      <c r="H147" s="293">
        <v>0</v>
      </c>
      <c r="I147" s="215" t="s">
        <v>165</v>
      </c>
      <c r="J147" s="264" t="s">
        <v>346</v>
      </c>
      <c r="N147" s="338"/>
      <c r="O147" s="148"/>
    </row>
    <row r="148" spans="1:15" ht="15.75" customHeight="1" x14ac:dyDescent="0.25">
      <c r="A148" s="244" t="s">
        <v>220</v>
      </c>
      <c r="B148" s="215" t="s">
        <v>164</v>
      </c>
      <c r="C148" s="262" t="s">
        <v>628</v>
      </c>
      <c r="D148" s="262">
        <v>1</v>
      </c>
      <c r="E148" s="296">
        <v>3.848965544617339</v>
      </c>
      <c r="F148" s="263">
        <v>42741</v>
      </c>
      <c r="G148" s="249">
        <v>776740.35</v>
      </c>
      <c r="H148" s="293">
        <f t="shared" si="3"/>
        <v>1.5407571933138541E-4</v>
      </c>
      <c r="I148" s="215" t="s">
        <v>165</v>
      </c>
      <c r="J148" s="264" t="s">
        <v>333</v>
      </c>
    </row>
    <row r="149" spans="1:15" ht="15.75" customHeight="1" x14ac:dyDescent="0.25">
      <c r="A149" s="244" t="s">
        <v>228</v>
      </c>
      <c r="B149" s="215" t="s">
        <v>164</v>
      </c>
      <c r="C149" s="262" t="s">
        <v>628</v>
      </c>
      <c r="D149" s="262">
        <v>1</v>
      </c>
      <c r="E149" s="296">
        <v>13.076345612058034</v>
      </c>
      <c r="F149" s="263">
        <v>42766</v>
      </c>
      <c r="G149" s="249">
        <v>589840.9</v>
      </c>
      <c r="H149" s="293">
        <f t="shared" si="3"/>
        <v>5.2345164773459965E-4</v>
      </c>
      <c r="I149" s="215" t="s">
        <v>165</v>
      </c>
      <c r="J149" s="264" t="s">
        <v>337</v>
      </c>
    </row>
    <row r="150" spans="1:15" ht="15.75" customHeight="1" x14ac:dyDescent="0.25">
      <c r="A150" s="244" t="s">
        <v>156</v>
      </c>
      <c r="B150" s="215" t="s">
        <v>164</v>
      </c>
      <c r="C150" s="262" t="s">
        <v>628</v>
      </c>
      <c r="D150" s="262">
        <v>1</v>
      </c>
      <c r="E150" s="296">
        <v>4.8544508867667124</v>
      </c>
      <c r="F150" s="335">
        <v>43111</v>
      </c>
      <c r="G150" s="249">
        <v>396280.22666666668</v>
      </c>
      <c r="H150" s="293">
        <f t="shared" si="3"/>
        <v>1.9432572302016383E-4</v>
      </c>
      <c r="I150" s="215" t="s">
        <v>165</v>
      </c>
      <c r="J150" s="264" t="s">
        <v>367</v>
      </c>
    </row>
    <row r="151" spans="1:15" ht="15.75" customHeight="1" x14ac:dyDescent="0.25">
      <c r="A151" s="244" t="s">
        <v>167</v>
      </c>
      <c r="B151" s="215" t="s">
        <v>164</v>
      </c>
      <c r="C151" s="262" t="s">
        <v>628</v>
      </c>
      <c r="D151" s="262">
        <v>1</v>
      </c>
      <c r="E151" s="296">
        <v>5.3029951162007416</v>
      </c>
      <c r="F151" s="263">
        <v>43084</v>
      </c>
      <c r="G151" s="249">
        <v>313325.83799999999</v>
      </c>
      <c r="H151" s="293">
        <f t="shared" si="3"/>
        <v>2.1228113831314765E-4</v>
      </c>
      <c r="I151" s="215" t="s">
        <v>165</v>
      </c>
      <c r="J151" s="264" t="s">
        <v>363</v>
      </c>
      <c r="N151" s="309"/>
      <c r="O151" s="148"/>
    </row>
    <row r="152" spans="1:15" ht="15.75" customHeight="1" x14ac:dyDescent="0.25">
      <c r="A152" s="244" t="s">
        <v>207</v>
      </c>
      <c r="B152" s="215" t="s">
        <v>161</v>
      </c>
      <c r="C152" s="262" t="s">
        <v>628</v>
      </c>
      <c r="D152" s="262">
        <v>1</v>
      </c>
      <c r="E152" s="296">
        <v>1.2334303112258953</v>
      </c>
      <c r="F152" s="335">
        <v>41974</v>
      </c>
      <c r="G152" s="249">
        <v>0</v>
      </c>
      <c r="H152" s="293">
        <f t="shared" si="3"/>
        <v>4.9374737249345312E-5</v>
      </c>
      <c r="I152" s="215" t="s">
        <v>165</v>
      </c>
      <c r="J152" s="264" t="s">
        <v>326</v>
      </c>
    </row>
    <row r="153" spans="1:15" ht="15.75" customHeight="1" x14ac:dyDescent="0.25">
      <c r="A153" s="244" t="s">
        <v>370</v>
      </c>
      <c r="B153" s="215" t="s">
        <v>161</v>
      </c>
      <c r="C153" s="262" t="s">
        <v>628</v>
      </c>
      <c r="D153" s="262">
        <v>1</v>
      </c>
      <c r="E153" s="296">
        <v>15.266839376010456</v>
      </c>
      <c r="F153" s="263">
        <v>43199</v>
      </c>
      <c r="G153" s="249">
        <v>164010</v>
      </c>
      <c r="H153" s="293">
        <f t="shared" si="3"/>
        <v>6.1113803995078086E-4</v>
      </c>
      <c r="I153" s="215" t="s">
        <v>165</v>
      </c>
      <c r="J153" s="264" t="s">
        <v>365</v>
      </c>
      <c r="N153" s="309"/>
      <c r="O153" s="148"/>
    </row>
    <row r="154" spans="1:15" ht="15.75" customHeight="1" x14ac:dyDescent="0.25">
      <c r="A154" s="244" t="s">
        <v>150</v>
      </c>
      <c r="B154" s="215" t="s">
        <v>160</v>
      </c>
      <c r="C154" s="262" t="s">
        <v>628</v>
      </c>
      <c r="D154" s="262">
        <v>1</v>
      </c>
      <c r="E154" s="296">
        <v>9.2119999999999997</v>
      </c>
      <c r="F154" s="263">
        <v>43039</v>
      </c>
      <c r="G154" s="249">
        <v>396395.83799999999</v>
      </c>
      <c r="H154" s="293">
        <f t="shared" si="3"/>
        <v>3.6876025779592489E-4</v>
      </c>
      <c r="I154" s="215" t="s">
        <v>165</v>
      </c>
      <c r="J154" s="264" t="s">
        <v>475</v>
      </c>
      <c r="N154" s="309"/>
      <c r="O154" s="148"/>
    </row>
    <row r="155" spans="1:15" ht="15.75" customHeight="1" x14ac:dyDescent="0.25">
      <c r="A155" s="244" t="s">
        <v>154</v>
      </c>
      <c r="B155" s="215" t="s">
        <v>162</v>
      </c>
      <c r="C155" s="262" t="s">
        <v>628</v>
      </c>
      <c r="D155" s="262">
        <v>1</v>
      </c>
      <c r="E155" s="296">
        <v>12.592712550607292</v>
      </c>
      <c r="F155" s="263">
        <v>43157</v>
      </c>
      <c r="G155" s="249">
        <v>316902.06</v>
      </c>
      <c r="H155" s="293">
        <f t="shared" si="3"/>
        <v>5.0409161164914498E-4</v>
      </c>
      <c r="I155" s="215" t="s">
        <v>165</v>
      </c>
      <c r="J155" s="264" t="s">
        <v>476</v>
      </c>
      <c r="N155" s="309"/>
      <c r="O155" s="148"/>
    </row>
    <row r="156" spans="1:15" ht="15.75" customHeight="1" x14ac:dyDescent="0.25">
      <c r="A156" s="244"/>
      <c r="B156" s="215"/>
      <c r="C156" s="262"/>
      <c r="D156" s="262"/>
      <c r="E156" s="298"/>
      <c r="F156" s="263"/>
      <c r="G156" s="239"/>
      <c r="H156" s="293"/>
      <c r="I156" s="215"/>
      <c r="J156" s="264"/>
    </row>
    <row r="157" spans="1:15" ht="15.75" customHeight="1" x14ac:dyDescent="0.25">
      <c r="A157" s="244" t="s">
        <v>385</v>
      </c>
      <c r="B157" s="215" t="s">
        <v>300</v>
      </c>
      <c r="C157" s="262" t="s">
        <v>307</v>
      </c>
      <c r="D157" s="262">
        <v>1</v>
      </c>
      <c r="E157" s="298">
        <v>10.466146763952883</v>
      </c>
      <c r="F157" s="263">
        <v>41984</v>
      </c>
      <c r="G157" s="239">
        <v>504239.6</v>
      </c>
      <c r="H157" s="293">
        <f t="shared" si="3"/>
        <v>4.1896428341350959E-4</v>
      </c>
      <c r="I157" s="215" t="s">
        <v>165</v>
      </c>
      <c r="J157" s="264" t="s">
        <v>383</v>
      </c>
    </row>
    <row r="158" spans="1:15" ht="15.75" customHeight="1" x14ac:dyDescent="0.25">
      <c r="A158" s="244" t="s">
        <v>386</v>
      </c>
      <c r="B158" s="215" t="s">
        <v>300</v>
      </c>
      <c r="C158" s="262" t="s">
        <v>307</v>
      </c>
      <c r="D158" s="262">
        <v>1</v>
      </c>
      <c r="E158" s="298">
        <v>6.427236478823545</v>
      </c>
      <c r="F158" s="263">
        <v>41982</v>
      </c>
      <c r="G158" s="239">
        <v>371573.12</v>
      </c>
      <c r="H158" s="293">
        <f t="shared" si="3"/>
        <v>2.5728499574971157E-4</v>
      </c>
      <c r="I158" s="215" t="s">
        <v>165</v>
      </c>
      <c r="J158" s="264" t="s">
        <v>384</v>
      </c>
    </row>
    <row r="159" spans="1:15" ht="15.75" customHeight="1" x14ac:dyDescent="0.25">
      <c r="A159" s="244" t="s">
        <v>387</v>
      </c>
      <c r="B159" s="215" t="s">
        <v>300</v>
      </c>
      <c r="C159" s="262" t="s">
        <v>307</v>
      </c>
      <c r="D159" s="262">
        <v>1</v>
      </c>
      <c r="E159" s="298">
        <v>10.466146763952885</v>
      </c>
      <c r="F159" s="263">
        <v>42087</v>
      </c>
      <c r="G159" s="239">
        <v>312334.63</v>
      </c>
      <c r="H159" s="293">
        <f t="shared" si="3"/>
        <v>4.189642834135097E-4</v>
      </c>
      <c r="I159" s="215" t="s">
        <v>165</v>
      </c>
      <c r="J159" s="264" t="s">
        <v>382</v>
      </c>
    </row>
    <row r="160" spans="1:15" ht="15.75" customHeight="1" x14ac:dyDescent="0.25">
      <c r="A160" s="244" t="s">
        <v>278</v>
      </c>
      <c r="B160" s="215" t="s">
        <v>300</v>
      </c>
      <c r="C160" s="262" t="s">
        <v>307</v>
      </c>
      <c r="D160" s="262">
        <v>1</v>
      </c>
      <c r="E160" s="298">
        <v>23.025522880696347</v>
      </c>
      <c r="F160" s="263">
        <v>41940</v>
      </c>
      <c r="G160" s="239">
        <v>150000</v>
      </c>
      <c r="H160" s="293">
        <f t="shared" si="3"/>
        <v>9.2172142350972124E-4</v>
      </c>
      <c r="I160" s="215" t="s">
        <v>165</v>
      </c>
      <c r="J160" s="264" t="s">
        <v>288</v>
      </c>
    </row>
    <row r="161" spans="1:19" ht="15.75" customHeight="1" x14ac:dyDescent="0.25">
      <c r="A161" s="244" t="s">
        <v>279</v>
      </c>
      <c r="B161" s="215" t="s">
        <v>300</v>
      </c>
      <c r="C161" s="262" t="s">
        <v>307</v>
      </c>
      <c r="D161" s="262">
        <v>1</v>
      </c>
      <c r="E161" s="298">
        <v>20.39391458115886</v>
      </c>
      <c r="F161" s="263">
        <v>42702</v>
      </c>
      <c r="G161" s="239">
        <v>1000000</v>
      </c>
      <c r="H161" s="293">
        <f t="shared" si="3"/>
        <v>8.1637702978899405E-4</v>
      </c>
      <c r="I161" s="215" t="s">
        <v>165</v>
      </c>
      <c r="J161" s="264" t="s">
        <v>289</v>
      </c>
    </row>
    <row r="162" spans="1:19" ht="15.75" customHeight="1" x14ac:dyDescent="0.25">
      <c r="A162" s="244" t="s">
        <v>280</v>
      </c>
      <c r="B162" s="215" t="s">
        <v>300</v>
      </c>
      <c r="C162" s="262" t="s">
        <v>307</v>
      </c>
      <c r="D162" s="262">
        <v>1</v>
      </c>
      <c r="E162" s="298">
        <v>17.311006747578073</v>
      </c>
      <c r="F162" s="263">
        <v>42804</v>
      </c>
      <c r="G162" s="239">
        <v>0</v>
      </c>
      <c r="H162" s="293">
        <f t="shared" si="3"/>
        <v>6.9296692476594507E-4</v>
      </c>
      <c r="I162" s="215" t="s">
        <v>165</v>
      </c>
      <c r="J162" s="264" t="s">
        <v>290</v>
      </c>
    </row>
    <row r="163" spans="1:19" ht="15.75" customHeight="1" x14ac:dyDescent="0.25">
      <c r="A163" s="244" t="s">
        <v>281</v>
      </c>
      <c r="B163" s="215" t="s">
        <v>300</v>
      </c>
      <c r="C163" s="262" t="s">
        <v>307</v>
      </c>
      <c r="D163" s="262">
        <v>1</v>
      </c>
      <c r="E163" s="298">
        <v>9.7829312155424084</v>
      </c>
      <c r="F163" s="263">
        <v>41947</v>
      </c>
      <c r="G163" s="239">
        <v>375000</v>
      </c>
      <c r="H163" s="293">
        <f t="shared" si="3"/>
        <v>3.9161487592740118E-4</v>
      </c>
      <c r="I163" s="215" t="s">
        <v>165</v>
      </c>
      <c r="J163" s="264" t="s">
        <v>291</v>
      </c>
    </row>
    <row r="164" spans="1:19" ht="15.75" customHeight="1" x14ac:dyDescent="0.25">
      <c r="A164" s="244" t="s">
        <v>282</v>
      </c>
      <c r="B164" s="215" t="s">
        <v>300</v>
      </c>
      <c r="C164" s="262" t="s">
        <v>307</v>
      </c>
      <c r="D164" s="262">
        <v>1</v>
      </c>
      <c r="E164" s="298">
        <v>6.2796880583717298</v>
      </c>
      <c r="F164" s="263">
        <v>42358</v>
      </c>
      <c r="G164" s="239">
        <v>258342.74</v>
      </c>
      <c r="H164" s="293">
        <f t="shared" si="3"/>
        <v>2.5137857004810574E-4</v>
      </c>
      <c r="I164" s="215" t="s">
        <v>165</v>
      </c>
      <c r="J164" s="264" t="s">
        <v>292</v>
      </c>
    </row>
    <row r="165" spans="1:19" ht="15.75" customHeight="1" x14ac:dyDescent="0.25">
      <c r="A165" s="244" t="s">
        <v>283</v>
      </c>
      <c r="B165" s="215" t="s">
        <v>300</v>
      </c>
      <c r="C165" s="262" t="s">
        <v>307</v>
      </c>
      <c r="D165" s="262">
        <v>1</v>
      </c>
      <c r="E165" s="298">
        <v>17.311006747578073</v>
      </c>
      <c r="F165" s="263">
        <v>42430</v>
      </c>
      <c r="G165" s="239">
        <v>595476.67000000004</v>
      </c>
      <c r="H165" s="293">
        <f t="shared" si="3"/>
        <v>6.9296692476594507E-4</v>
      </c>
      <c r="I165" s="215" t="s">
        <v>165</v>
      </c>
      <c r="J165" s="264" t="s">
        <v>293</v>
      </c>
    </row>
    <row r="166" spans="1:19" ht="15.75" customHeight="1" x14ac:dyDescent="0.25">
      <c r="A166" s="244" t="s">
        <v>284</v>
      </c>
      <c r="B166" s="215" t="s">
        <v>300</v>
      </c>
      <c r="C166" s="262" t="s">
        <v>307</v>
      </c>
      <c r="D166" s="262">
        <v>1</v>
      </c>
      <c r="E166" s="298">
        <v>20.93229352790577</v>
      </c>
      <c r="F166" s="263">
        <v>42552</v>
      </c>
      <c r="G166" s="239">
        <v>430251.27</v>
      </c>
      <c r="H166" s="293">
        <f t="shared" si="3"/>
        <v>8.3792856682701939E-4</v>
      </c>
      <c r="I166" s="215" t="s">
        <v>165</v>
      </c>
      <c r="J166" s="264" t="s">
        <v>294</v>
      </c>
    </row>
    <row r="167" spans="1:19" ht="15.75" customHeight="1" x14ac:dyDescent="0.25">
      <c r="A167" s="244" t="s">
        <v>285</v>
      </c>
      <c r="B167" s="215" t="s">
        <v>300</v>
      </c>
      <c r="C167" s="262" t="s">
        <v>307</v>
      </c>
      <c r="D167" s="262">
        <v>1</v>
      </c>
      <c r="E167" s="298">
        <v>23.192981228919592</v>
      </c>
      <c r="F167" s="263">
        <v>42494</v>
      </c>
      <c r="G167" s="239">
        <v>1151236.58</v>
      </c>
      <c r="H167" s="293">
        <f t="shared" si="3"/>
        <v>9.2842485204433739E-4</v>
      </c>
      <c r="I167" s="215" t="s">
        <v>165</v>
      </c>
      <c r="J167" s="264" t="s">
        <v>295</v>
      </c>
    </row>
    <row r="168" spans="1:19" ht="15.75" customHeight="1" x14ac:dyDescent="0.25">
      <c r="A168" s="244" t="s">
        <v>286</v>
      </c>
      <c r="B168" s="215" t="s">
        <v>300</v>
      </c>
      <c r="C168" s="262" t="s">
        <v>307</v>
      </c>
      <c r="D168" s="262">
        <v>1</v>
      </c>
      <c r="E168" s="298">
        <v>16.568615904649299</v>
      </c>
      <c r="F168" s="263">
        <v>42827</v>
      </c>
      <c r="G168" s="239">
        <v>0</v>
      </c>
      <c r="H168" s="293">
        <f t="shared" si="3"/>
        <v>6.6324870520192546E-4</v>
      </c>
      <c r="I168" s="215" t="s">
        <v>165</v>
      </c>
      <c r="J168" s="264" t="s">
        <v>296</v>
      </c>
    </row>
    <row r="169" spans="1:19" ht="15.75" customHeight="1" x14ac:dyDescent="0.25">
      <c r="A169" s="244" t="s">
        <v>287</v>
      </c>
      <c r="B169" s="215" t="s">
        <v>300</v>
      </c>
      <c r="C169" s="262" t="s">
        <v>307</v>
      </c>
      <c r="D169" s="262">
        <v>1</v>
      </c>
      <c r="E169" s="298">
        <v>3.1398440291858658</v>
      </c>
      <c r="F169" s="263">
        <v>42824</v>
      </c>
      <c r="G169" s="239">
        <v>336490</v>
      </c>
      <c r="H169" s="293">
        <f t="shared" si="3"/>
        <v>1.2568928502405293E-4</v>
      </c>
      <c r="I169" s="215" t="s">
        <v>165</v>
      </c>
      <c r="J169" s="264" t="s">
        <v>297</v>
      </c>
    </row>
    <row r="170" spans="1:19" ht="15.75" customHeight="1" x14ac:dyDescent="0.25">
      <c r="A170" s="244" t="s">
        <v>298</v>
      </c>
      <c r="B170" s="215" t="s">
        <v>300</v>
      </c>
      <c r="C170" s="262" t="s">
        <v>307</v>
      </c>
      <c r="D170" s="262">
        <v>1</v>
      </c>
      <c r="E170" s="298">
        <v>14.652605469534038</v>
      </c>
      <c r="F170" s="263">
        <v>42368</v>
      </c>
      <c r="G170" s="239">
        <v>0</v>
      </c>
      <c r="H170" s="293">
        <f t="shared" si="3"/>
        <v>5.8654999677891344E-4</v>
      </c>
      <c r="I170" s="215" t="s">
        <v>165</v>
      </c>
      <c r="J170" s="264" t="s">
        <v>299</v>
      </c>
    </row>
    <row r="171" spans="1:19" ht="15.75" customHeight="1" x14ac:dyDescent="0.25">
      <c r="A171" s="244" t="s">
        <v>301</v>
      </c>
      <c r="B171" s="215" t="s">
        <v>300</v>
      </c>
      <c r="C171" s="262" t="s">
        <v>307</v>
      </c>
      <c r="D171" s="262">
        <v>1</v>
      </c>
      <c r="E171" s="298">
        <v>30</v>
      </c>
      <c r="F171" s="263">
        <v>41871</v>
      </c>
      <c r="G171" s="239">
        <v>67901</v>
      </c>
      <c r="H171" s="293">
        <f t="shared" si="3"/>
        <v>1.2009126936471718E-3</v>
      </c>
      <c r="I171" s="215" t="s">
        <v>165</v>
      </c>
      <c r="J171" s="264" t="s">
        <v>302</v>
      </c>
    </row>
    <row r="172" spans="1:19" ht="15.75" customHeight="1" x14ac:dyDescent="0.25">
      <c r="A172" s="323" t="s">
        <v>626</v>
      </c>
      <c r="B172" s="341" t="s">
        <v>300</v>
      </c>
      <c r="C172" s="262" t="s">
        <v>307</v>
      </c>
      <c r="D172" s="262">
        <v>1</v>
      </c>
      <c r="E172" s="298">
        <v>9.210209152278539</v>
      </c>
      <c r="F172" s="263">
        <v>43281</v>
      </c>
      <c r="G172" s="239">
        <v>0</v>
      </c>
      <c r="H172" s="293">
        <f t="shared" si="3"/>
        <v>3.6868856940388851E-4</v>
      </c>
      <c r="I172" s="215" t="s">
        <v>165</v>
      </c>
      <c r="J172" s="264" t="s">
        <v>303</v>
      </c>
      <c r="N172" s="309"/>
      <c r="O172" s="148"/>
      <c r="R172" s="309">
        <f>SUM(E157:E172)</f>
        <v>239.16014955012793</v>
      </c>
      <c r="S172" s="148">
        <f>SUM(G157:G172)</f>
        <v>5552845.6099999994</v>
      </c>
    </row>
    <row r="173" spans="1:19" ht="15.75" customHeight="1" x14ac:dyDescent="0.25">
      <c r="A173" s="323" t="s">
        <v>629</v>
      </c>
      <c r="B173" s="341" t="s">
        <v>300</v>
      </c>
      <c r="C173" s="262" t="s">
        <v>307</v>
      </c>
      <c r="D173" s="262">
        <v>1</v>
      </c>
      <c r="E173" s="298">
        <v>3.2</v>
      </c>
      <c r="F173" s="263">
        <v>42223</v>
      </c>
      <c r="G173" s="249">
        <v>573666.50554770324</v>
      </c>
      <c r="H173" s="293">
        <f t="shared" si="3"/>
        <v>1.2809735398903167E-4</v>
      </c>
      <c r="I173" s="215" t="s">
        <v>165</v>
      </c>
      <c r="J173" s="264" t="s">
        <v>466</v>
      </c>
      <c r="N173" s="346"/>
    </row>
    <row r="174" spans="1:19" ht="15.75" customHeight="1" x14ac:dyDescent="0.25">
      <c r="A174" s="323" t="s">
        <v>630</v>
      </c>
      <c r="B174" s="341" t="s">
        <v>300</v>
      </c>
      <c r="C174" s="262" t="s">
        <v>307</v>
      </c>
      <c r="D174" s="262">
        <v>1</v>
      </c>
      <c r="E174" s="296">
        <v>4.7300000000000004</v>
      </c>
      <c r="F174" s="263">
        <v>41944</v>
      </c>
      <c r="G174" s="249">
        <v>277678.65000000002</v>
      </c>
      <c r="H174" s="293">
        <f t="shared" si="3"/>
        <v>1.8934390136503745E-4</v>
      </c>
      <c r="I174" s="215" t="s">
        <v>165</v>
      </c>
      <c r="J174" s="264" t="s">
        <v>471</v>
      </c>
      <c r="N174" s="346"/>
    </row>
    <row r="175" spans="1:19" ht="15.75" customHeight="1" thickBot="1" x14ac:dyDescent="0.3">
      <c r="A175" s="244"/>
      <c r="B175" s="215"/>
      <c r="C175" s="262"/>
      <c r="D175" s="262"/>
      <c r="E175" s="214"/>
      <c r="F175" s="263"/>
      <c r="G175" s="249"/>
      <c r="H175" s="293"/>
      <c r="I175" s="215"/>
      <c r="J175" s="264"/>
    </row>
    <row r="176" spans="1:19" ht="30" customHeight="1" thickBot="1" x14ac:dyDescent="0.3">
      <c r="A176" s="251" t="s">
        <v>98</v>
      </c>
      <c r="B176" s="265"/>
      <c r="C176" s="266"/>
      <c r="D176" s="267">
        <f>SUM(D21:D175)</f>
        <v>153</v>
      </c>
      <c r="E176" s="299">
        <f>SUM(E21:E175)</f>
        <v>832.87312358702457</v>
      </c>
      <c r="F176" s="268"/>
      <c r="G176" s="256">
        <f>SUM(G21:G175)</f>
        <v>33706498.528289646</v>
      </c>
      <c r="H176" s="269">
        <f>SUM(H21:H175)</f>
        <v>3.3329946617584025E-2</v>
      </c>
      <c r="I176" s="265"/>
      <c r="J176" s="270"/>
      <c r="L176" s="148"/>
    </row>
    <row r="177" spans="1:19" ht="15.75" customHeight="1" x14ac:dyDescent="0.25">
      <c r="A177" s="271" t="s">
        <v>5</v>
      </c>
      <c r="B177" s="272"/>
      <c r="C177" s="236"/>
      <c r="D177" s="236"/>
      <c r="E177" s="236"/>
      <c r="F177" s="236"/>
      <c r="G177" s="237"/>
      <c r="H177" s="238"/>
      <c r="I177" s="272"/>
      <c r="J177" s="273"/>
      <c r="L177" s="148"/>
    </row>
    <row r="178" spans="1:19" ht="15.75" customHeight="1" x14ac:dyDescent="0.25">
      <c r="A178" s="244"/>
      <c r="B178" s="274" t="s">
        <v>377</v>
      </c>
      <c r="C178" s="275" t="s">
        <v>307</v>
      </c>
      <c r="D178" s="262">
        <v>39</v>
      </c>
      <c r="E178" s="214">
        <v>15.21</v>
      </c>
      <c r="F178" s="263"/>
      <c r="G178" s="276"/>
      <c r="H178" s="293">
        <f t="shared" ref="H178:H184" si="4">E178/$B$4</f>
        <v>6.088627356791162E-4</v>
      </c>
      <c r="I178" s="105" t="s">
        <v>165</v>
      </c>
      <c r="J178" s="264" t="s">
        <v>479</v>
      </c>
    </row>
    <row r="179" spans="1:19" ht="15.75" customHeight="1" x14ac:dyDescent="0.25">
      <c r="A179" s="244"/>
      <c r="B179" s="274" t="s">
        <v>377</v>
      </c>
      <c r="C179" s="275" t="s">
        <v>307</v>
      </c>
      <c r="D179" s="262">
        <v>33</v>
      </c>
      <c r="E179" s="214">
        <v>12.87</v>
      </c>
      <c r="F179" s="263"/>
      <c r="G179" s="276"/>
      <c r="H179" s="293">
        <f t="shared" ref="H179" si="5">E179/$B$4</f>
        <v>5.151915455746367E-4</v>
      </c>
      <c r="I179" s="105" t="s">
        <v>165</v>
      </c>
      <c r="J179" s="264" t="s">
        <v>309</v>
      </c>
    </row>
    <row r="180" spans="1:19" ht="15.75" customHeight="1" x14ac:dyDescent="0.25">
      <c r="A180" s="244"/>
      <c r="B180" s="274" t="s">
        <v>378</v>
      </c>
      <c r="C180" s="275" t="s">
        <v>307</v>
      </c>
      <c r="D180" s="262">
        <v>532</v>
      </c>
      <c r="E180" s="214">
        <v>138.32</v>
      </c>
      <c r="F180" s="263"/>
      <c r="G180" s="276">
        <v>645199</v>
      </c>
      <c r="H180" s="293">
        <f t="shared" si="4"/>
        <v>5.537008126175893E-3</v>
      </c>
      <c r="I180" s="105" t="s">
        <v>165</v>
      </c>
      <c r="J180" s="264" t="s">
        <v>309</v>
      </c>
      <c r="R180">
        <f>SUM(E178:E180)</f>
        <v>166.39999999999998</v>
      </c>
      <c r="S180" s="148">
        <f>SUM(G178:G180)</f>
        <v>645199</v>
      </c>
    </row>
    <row r="181" spans="1:19" ht="15.75" customHeight="1" x14ac:dyDescent="0.25">
      <c r="A181" s="244"/>
      <c r="B181" s="274" t="s">
        <v>377</v>
      </c>
      <c r="C181" s="275" t="s">
        <v>307</v>
      </c>
      <c r="D181" s="262">
        <v>32</v>
      </c>
      <c r="E181" s="214">
        <v>12.48</v>
      </c>
      <c r="F181" s="263"/>
      <c r="G181" s="276"/>
      <c r="H181" s="293">
        <f t="shared" si="4"/>
        <v>4.9957968055722353E-4</v>
      </c>
      <c r="I181" s="105" t="s">
        <v>165</v>
      </c>
      <c r="J181" s="264" t="s">
        <v>310</v>
      </c>
      <c r="S181" s="148"/>
    </row>
    <row r="182" spans="1:19" ht="15.75" customHeight="1" x14ac:dyDescent="0.25">
      <c r="A182" s="244"/>
      <c r="B182" s="274" t="s">
        <v>378</v>
      </c>
      <c r="C182" s="275" t="s">
        <v>307</v>
      </c>
      <c r="D182" s="262">
        <v>155</v>
      </c>
      <c r="E182" s="214">
        <v>40.299999999999997</v>
      </c>
      <c r="F182" s="263"/>
      <c r="G182" s="276">
        <v>189764</v>
      </c>
      <c r="H182" s="293">
        <f t="shared" si="4"/>
        <v>1.6132260517993675E-3</v>
      </c>
      <c r="I182" s="105" t="s">
        <v>165</v>
      </c>
      <c r="J182" s="264" t="s">
        <v>310</v>
      </c>
      <c r="S182" s="148"/>
    </row>
    <row r="183" spans="1:19" ht="15.75" customHeight="1" x14ac:dyDescent="0.25">
      <c r="A183" s="244"/>
      <c r="B183" s="274" t="s">
        <v>377</v>
      </c>
      <c r="C183" s="275" t="s">
        <v>307</v>
      </c>
      <c r="D183" s="262">
        <v>14</v>
      </c>
      <c r="E183" s="214">
        <v>5.46</v>
      </c>
      <c r="F183" s="263"/>
      <c r="G183" s="276"/>
      <c r="H183" s="293">
        <f t="shared" si="4"/>
        <v>2.1856611024378527E-4</v>
      </c>
      <c r="I183" s="105" t="s">
        <v>165</v>
      </c>
      <c r="J183" s="264" t="s">
        <v>311</v>
      </c>
      <c r="S183" s="148"/>
    </row>
    <row r="184" spans="1:19" ht="15.75" customHeight="1" x14ac:dyDescent="0.25">
      <c r="A184" s="244"/>
      <c r="B184" s="274" t="s">
        <v>378</v>
      </c>
      <c r="C184" s="275" t="s">
        <v>307</v>
      </c>
      <c r="D184" s="262">
        <v>168</v>
      </c>
      <c r="E184" s="214">
        <v>43.68</v>
      </c>
      <c r="F184" s="263"/>
      <c r="G184" s="276">
        <v>113859</v>
      </c>
      <c r="H184" s="293">
        <f t="shared" si="4"/>
        <v>1.7485288819502822E-3</v>
      </c>
      <c r="I184" s="105" t="s">
        <v>165</v>
      </c>
      <c r="J184" s="264" t="s">
        <v>311</v>
      </c>
      <c r="S184" s="148"/>
    </row>
    <row r="185" spans="1:19" ht="15.75" customHeight="1" x14ac:dyDescent="0.25">
      <c r="A185" s="326"/>
      <c r="B185" s="274"/>
      <c r="C185" s="275"/>
      <c r="D185" s="262"/>
      <c r="E185" s="214"/>
      <c r="F185" s="263"/>
      <c r="G185" s="276"/>
      <c r="H185" s="293"/>
      <c r="I185" s="277"/>
      <c r="J185" s="264"/>
    </row>
    <row r="186" spans="1:19" ht="15.75" customHeight="1" x14ac:dyDescent="0.25">
      <c r="A186" s="92" t="s">
        <v>480</v>
      </c>
      <c r="B186" s="91" t="s">
        <v>381</v>
      </c>
      <c r="C186" s="92" t="s">
        <v>307</v>
      </c>
      <c r="D186" s="92">
        <v>1</v>
      </c>
      <c r="E186" s="92">
        <v>0.3</v>
      </c>
      <c r="F186" s="306">
        <v>2016</v>
      </c>
      <c r="G186" s="355">
        <v>45260</v>
      </c>
      <c r="H186" s="293">
        <f t="shared" ref="H186:H227" si="6">E186/$B$4</f>
        <v>1.2009126936471718E-5</v>
      </c>
      <c r="I186" s="105" t="s">
        <v>165</v>
      </c>
      <c r="J186" s="147" t="s">
        <v>489</v>
      </c>
    </row>
    <row r="187" spans="1:19" ht="15.75" customHeight="1" x14ac:dyDescent="0.25">
      <c r="A187" s="92" t="s">
        <v>481</v>
      </c>
      <c r="B187" s="91" t="s">
        <v>381</v>
      </c>
      <c r="C187" s="92" t="s">
        <v>307</v>
      </c>
      <c r="D187" s="92">
        <v>1</v>
      </c>
      <c r="E187" s="92">
        <v>0.5</v>
      </c>
      <c r="F187" s="306">
        <v>2016</v>
      </c>
      <c r="G187" s="355">
        <v>12320</v>
      </c>
      <c r="H187" s="293">
        <f t="shared" si="6"/>
        <v>2.0015211560786197E-5</v>
      </c>
      <c r="I187" s="105" t="s">
        <v>165</v>
      </c>
      <c r="J187" s="147" t="s">
        <v>490</v>
      </c>
    </row>
    <row r="188" spans="1:19" ht="15.75" customHeight="1" x14ac:dyDescent="0.25">
      <c r="A188" s="244" t="s">
        <v>482</v>
      </c>
      <c r="B188" s="274" t="s">
        <v>381</v>
      </c>
      <c r="C188" s="275" t="s">
        <v>307</v>
      </c>
      <c r="D188" s="262">
        <v>1</v>
      </c>
      <c r="E188" s="214">
        <v>0.25</v>
      </c>
      <c r="F188" s="306">
        <v>2016</v>
      </c>
      <c r="G188" s="276">
        <v>40480</v>
      </c>
      <c r="H188" s="293">
        <f t="shared" si="6"/>
        <v>1.0007605780393099E-5</v>
      </c>
      <c r="I188" s="277" t="s">
        <v>165</v>
      </c>
      <c r="J188" s="264" t="s">
        <v>491</v>
      </c>
    </row>
    <row r="189" spans="1:19" ht="15.75" customHeight="1" x14ac:dyDescent="0.25">
      <c r="A189" s="244" t="s">
        <v>483</v>
      </c>
      <c r="B189" s="274" t="s">
        <v>381</v>
      </c>
      <c r="C189" s="275" t="s">
        <v>307</v>
      </c>
      <c r="D189" s="262">
        <v>1</v>
      </c>
      <c r="E189" s="214">
        <v>0.4</v>
      </c>
      <c r="F189" s="306">
        <v>2016</v>
      </c>
      <c r="G189" s="276">
        <v>16060</v>
      </c>
      <c r="H189" s="293">
        <f t="shared" si="6"/>
        <v>1.6012169248628958E-5</v>
      </c>
      <c r="I189" s="277" t="s">
        <v>165</v>
      </c>
      <c r="J189" s="264" t="s">
        <v>492</v>
      </c>
    </row>
    <row r="190" spans="1:19" ht="15.75" customHeight="1" x14ac:dyDescent="0.25">
      <c r="A190" s="244" t="s">
        <v>484</v>
      </c>
      <c r="B190" s="274" t="s">
        <v>381</v>
      </c>
      <c r="C190" s="275" t="s">
        <v>307</v>
      </c>
      <c r="D190" s="262">
        <v>1</v>
      </c>
      <c r="E190" s="214">
        <v>2</v>
      </c>
      <c r="F190" s="306">
        <v>2016</v>
      </c>
      <c r="G190" s="276">
        <v>60360</v>
      </c>
      <c r="H190" s="293">
        <f t="shared" si="6"/>
        <v>8.0060846243144789E-5</v>
      </c>
      <c r="I190" s="277" t="s">
        <v>165</v>
      </c>
      <c r="J190" s="264" t="s">
        <v>493</v>
      </c>
    </row>
    <row r="191" spans="1:19" ht="15.75" customHeight="1" x14ac:dyDescent="0.25">
      <c r="A191" s="244" t="s">
        <v>621</v>
      </c>
      <c r="B191" s="274" t="s">
        <v>381</v>
      </c>
      <c r="C191" s="275" t="s">
        <v>307</v>
      </c>
      <c r="D191" s="262">
        <v>1</v>
      </c>
      <c r="E191" s="214">
        <v>2</v>
      </c>
      <c r="F191" s="306">
        <v>2016</v>
      </c>
      <c r="G191" s="276">
        <v>361623.5851590106</v>
      </c>
      <c r="H191" s="293">
        <v>8.0060846243144789E-5</v>
      </c>
      <c r="I191" s="277" t="s">
        <v>165</v>
      </c>
      <c r="J191" s="264" t="s">
        <v>467</v>
      </c>
    </row>
    <row r="192" spans="1:19" ht="15.75" customHeight="1" x14ac:dyDescent="0.25">
      <c r="A192" s="244" t="s">
        <v>622</v>
      </c>
      <c r="B192" s="274" t="s">
        <v>381</v>
      </c>
      <c r="C192" s="275" t="s">
        <v>307</v>
      </c>
      <c r="D192" s="262">
        <v>1</v>
      </c>
      <c r="E192" s="214">
        <v>0.97</v>
      </c>
      <c r="F192" s="306">
        <v>2016</v>
      </c>
      <c r="G192" s="276">
        <v>159443.12618374557</v>
      </c>
      <c r="H192" s="293">
        <v>3.8829510427925225E-5</v>
      </c>
      <c r="I192" s="277" t="s">
        <v>165</v>
      </c>
      <c r="J192" s="264" t="s">
        <v>468</v>
      </c>
    </row>
    <row r="193" spans="1:14" ht="15.75" customHeight="1" x14ac:dyDescent="0.25">
      <c r="A193" s="244" t="s">
        <v>623</v>
      </c>
      <c r="B193" s="274" t="s">
        <v>381</v>
      </c>
      <c r="C193" s="275" t="s">
        <v>307</v>
      </c>
      <c r="D193" s="262">
        <v>1</v>
      </c>
      <c r="E193" s="214">
        <v>1.42</v>
      </c>
      <c r="F193" s="306">
        <v>2016</v>
      </c>
      <c r="G193" s="276">
        <v>233411.58678445229</v>
      </c>
      <c r="H193" s="293">
        <v>5.6843200832632796E-5</v>
      </c>
      <c r="I193" s="277" t="s">
        <v>165</v>
      </c>
      <c r="J193" s="264" t="s">
        <v>469</v>
      </c>
    </row>
    <row r="194" spans="1:14" ht="15.75" customHeight="1" x14ac:dyDescent="0.25">
      <c r="A194" s="244" t="s">
        <v>624</v>
      </c>
      <c r="B194" s="274" t="s">
        <v>381</v>
      </c>
      <c r="C194" s="275" t="s">
        <v>307</v>
      </c>
      <c r="D194" s="262">
        <v>1</v>
      </c>
      <c r="E194" s="214">
        <v>0.41</v>
      </c>
      <c r="F194" s="306">
        <v>2016</v>
      </c>
      <c r="G194" s="276">
        <v>67393.486325088335</v>
      </c>
      <c r="H194" s="293">
        <v>1.6412473479844682E-5</v>
      </c>
      <c r="I194" s="277" t="s">
        <v>165</v>
      </c>
      <c r="J194" s="264" t="s">
        <v>470</v>
      </c>
    </row>
    <row r="195" spans="1:14" ht="15.75" customHeight="1" x14ac:dyDescent="0.25">
      <c r="A195" s="244" t="s">
        <v>485</v>
      </c>
      <c r="B195" s="274" t="s">
        <v>381</v>
      </c>
      <c r="C195" s="275" t="s">
        <v>307</v>
      </c>
      <c r="D195" s="262">
        <v>1</v>
      </c>
      <c r="E195" s="214">
        <v>0.70000000000000007</v>
      </c>
      <c r="F195" s="306">
        <v>2017</v>
      </c>
      <c r="G195" s="276">
        <v>41874.769999999997</v>
      </c>
      <c r="H195" s="293">
        <f t="shared" si="6"/>
        <v>2.8021296185100678E-5</v>
      </c>
      <c r="I195" s="277" t="s">
        <v>165</v>
      </c>
      <c r="J195" s="264" t="s">
        <v>494</v>
      </c>
      <c r="N195" s="346"/>
    </row>
    <row r="196" spans="1:14" ht="15.75" customHeight="1" x14ac:dyDescent="0.25">
      <c r="A196" s="244" t="s">
        <v>486</v>
      </c>
      <c r="B196" s="274" t="s">
        <v>381</v>
      </c>
      <c r="C196" s="275" t="s">
        <v>307</v>
      </c>
      <c r="D196" s="262">
        <v>1</v>
      </c>
      <c r="E196" s="214">
        <v>0.4</v>
      </c>
      <c r="F196" s="306">
        <v>2017</v>
      </c>
      <c r="G196" s="276">
        <v>64238</v>
      </c>
      <c r="H196" s="293">
        <f t="shared" si="6"/>
        <v>1.6012169248628958E-5</v>
      </c>
      <c r="I196" s="277" t="s">
        <v>165</v>
      </c>
      <c r="J196" s="264" t="s">
        <v>495</v>
      </c>
      <c r="N196" s="346"/>
    </row>
    <row r="197" spans="1:14" ht="15.75" customHeight="1" x14ac:dyDescent="0.25">
      <c r="A197" s="244" t="s">
        <v>487</v>
      </c>
      <c r="B197" s="274" t="s">
        <v>381</v>
      </c>
      <c r="C197" s="275" t="s">
        <v>307</v>
      </c>
      <c r="D197" s="262">
        <v>1</v>
      </c>
      <c r="E197" s="214">
        <v>0.5</v>
      </c>
      <c r="F197" s="306">
        <v>2017</v>
      </c>
      <c r="G197" s="276">
        <v>44424.79</v>
      </c>
      <c r="H197" s="293">
        <f t="shared" si="6"/>
        <v>2.0015211560786197E-5</v>
      </c>
      <c r="I197" s="277" t="s">
        <v>165</v>
      </c>
      <c r="J197" s="264" t="s">
        <v>496</v>
      </c>
      <c r="N197" s="346"/>
    </row>
    <row r="198" spans="1:14" ht="15.75" customHeight="1" x14ac:dyDescent="0.25">
      <c r="A198" s="244" t="s">
        <v>488</v>
      </c>
      <c r="B198" s="274" t="s">
        <v>381</v>
      </c>
      <c r="C198" s="275" t="s">
        <v>307</v>
      </c>
      <c r="D198" s="262">
        <v>1</v>
      </c>
      <c r="E198" s="214">
        <v>0.9</v>
      </c>
      <c r="F198" s="306">
        <v>2017</v>
      </c>
      <c r="G198" s="276">
        <v>63070</v>
      </c>
      <c r="H198" s="293">
        <f t="shared" si="6"/>
        <v>3.6027380809415156E-5</v>
      </c>
      <c r="I198" s="277" t="s">
        <v>165</v>
      </c>
      <c r="J198" s="264" t="s">
        <v>497</v>
      </c>
      <c r="N198" s="346"/>
    </row>
    <row r="199" spans="1:14" ht="15.75" customHeight="1" x14ac:dyDescent="0.25">
      <c r="A199" s="326" t="s">
        <v>663</v>
      </c>
      <c r="B199" s="274" t="s">
        <v>381</v>
      </c>
      <c r="C199" s="275" t="s">
        <v>307</v>
      </c>
      <c r="D199" s="262">
        <v>1</v>
      </c>
      <c r="E199" s="214">
        <v>0.35000000000000003</v>
      </c>
      <c r="F199" s="306">
        <v>2018</v>
      </c>
      <c r="G199" s="276">
        <v>263748</v>
      </c>
      <c r="H199" s="293">
        <f t="shared" si="6"/>
        <v>1.4010648092550339E-5</v>
      </c>
      <c r="I199" s="277" t="s">
        <v>165</v>
      </c>
      <c r="J199" s="264" t="s">
        <v>633</v>
      </c>
    </row>
    <row r="200" spans="1:14" ht="15.75" customHeight="1" x14ac:dyDescent="0.25">
      <c r="A200" s="326" t="s">
        <v>665</v>
      </c>
      <c r="B200" s="274" t="s">
        <v>381</v>
      </c>
      <c r="C200" s="275" t="s">
        <v>307</v>
      </c>
      <c r="D200" s="262">
        <v>1</v>
      </c>
      <c r="E200" s="214">
        <v>0.6</v>
      </c>
      <c r="F200" s="306">
        <v>2018</v>
      </c>
      <c r="G200" s="276">
        <v>171934</v>
      </c>
      <c r="H200" s="293">
        <f t="shared" si="6"/>
        <v>2.4018253872943436E-5</v>
      </c>
      <c r="I200" s="277" t="s">
        <v>165</v>
      </c>
      <c r="J200" s="264" t="s">
        <v>634</v>
      </c>
    </row>
    <row r="201" spans="1:14" ht="15.75" customHeight="1" x14ac:dyDescent="0.25">
      <c r="A201" s="326" t="s">
        <v>664</v>
      </c>
      <c r="B201" s="274" t="s">
        <v>381</v>
      </c>
      <c r="C201" s="275" t="s">
        <v>307</v>
      </c>
      <c r="D201" s="262">
        <v>1</v>
      </c>
      <c r="E201" s="214">
        <v>0.5</v>
      </c>
      <c r="F201" s="306">
        <v>2018</v>
      </c>
      <c r="G201" s="276">
        <v>43212</v>
      </c>
      <c r="H201" s="293">
        <f t="shared" si="6"/>
        <v>2.0015211560786197E-5</v>
      </c>
      <c r="I201" s="277" t="s">
        <v>165</v>
      </c>
      <c r="J201" s="264" t="s">
        <v>635</v>
      </c>
    </row>
    <row r="202" spans="1:14" ht="15.75" customHeight="1" x14ac:dyDescent="0.25">
      <c r="A202" s="326" t="s">
        <v>672</v>
      </c>
      <c r="B202" s="274" t="s">
        <v>381</v>
      </c>
      <c r="C202" s="275" t="s">
        <v>307</v>
      </c>
      <c r="D202" s="262">
        <v>1</v>
      </c>
      <c r="E202" s="214">
        <v>0.6</v>
      </c>
      <c r="F202" s="306">
        <v>2018</v>
      </c>
      <c r="G202" s="276">
        <v>48315.31</v>
      </c>
      <c r="H202" s="293">
        <f t="shared" si="6"/>
        <v>2.4018253872943436E-5</v>
      </c>
      <c r="I202" s="277" t="s">
        <v>165</v>
      </c>
      <c r="J202" s="264" t="s">
        <v>636</v>
      </c>
    </row>
    <row r="203" spans="1:14" ht="15.75" customHeight="1" x14ac:dyDescent="0.25">
      <c r="A203" s="326" t="s">
        <v>671</v>
      </c>
      <c r="B203" s="274" t="s">
        <v>381</v>
      </c>
      <c r="C203" s="275" t="s">
        <v>307</v>
      </c>
      <c r="D203" s="262">
        <v>1</v>
      </c>
      <c r="E203" s="214">
        <v>0.2</v>
      </c>
      <c r="F203" s="306">
        <v>2018</v>
      </c>
      <c r="G203" s="276">
        <v>17998.189999999999</v>
      </c>
      <c r="H203" s="293">
        <f t="shared" si="6"/>
        <v>8.0060846243144792E-6</v>
      </c>
      <c r="I203" s="277" t="s">
        <v>165</v>
      </c>
      <c r="J203" s="264" t="s">
        <v>637</v>
      </c>
    </row>
    <row r="204" spans="1:14" ht="15.75" customHeight="1" x14ac:dyDescent="0.25">
      <c r="A204" s="326" t="s">
        <v>670</v>
      </c>
      <c r="B204" s="274" t="s">
        <v>381</v>
      </c>
      <c r="C204" s="275" t="s">
        <v>307</v>
      </c>
      <c r="D204" s="262">
        <v>1</v>
      </c>
      <c r="E204" s="214">
        <v>0.1</v>
      </c>
      <c r="F204" s="306">
        <v>2018</v>
      </c>
      <c r="G204" s="276">
        <v>59901.79</v>
      </c>
      <c r="H204" s="293">
        <f t="shared" si="6"/>
        <v>4.0030423121572396E-6</v>
      </c>
      <c r="I204" s="277" t="s">
        <v>165</v>
      </c>
      <c r="J204" s="264" t="s">
        <v>638</v>
      </c>
    </row>
    <row r="205" spans="1:14" ht="15.75" customHeight="1" x14ac:dyDescent="0.25">
      <c r="A205" s="326" t="s">
        <v>669</v>
      </c>
      <c r="B205" s="274" t="s">
        <v>381</v>
      </c>
      <c r="C205" s="275" t="s">
        <v>307</v>
      </c>
      <c r="D205" s="262">
        <v>1</v>
      </c>
      <c r="E205" s="214">
        <v>0.3</v>
      </c>
      <c r="F205" s="306">
        <v>2018</v>
      </c>
      <c r="G205" s="276">
        <v>51053.3</v>
      </c>
      <c r="H205" s="293">
        <f t="shared" si="6"/>
        <v>1.2009126936471718E-5</v>
      </c>
      <c r="I205" s="277" t="s">
        <v>165</v>
      </c>
      <c r="J205" s="264" t="s">
        <v>639</v>
      </c>
    </row>
    <row r="206" spans="1:14" ht="15.75" customHeight="1" x14ac:dyDescent="0.25">
      <c r="A206" s="326" t="s">
        <v>667</v>
      </c>
      <c r="B206" s="274" t="s">
        <v>381</v>
      </c>
      <c r="C206" s="275" t="s">
        <v>307</v>
      </c>
      <c r="D206" s="262">
        <v>1</v>
      </c>
      <c r="E206" s="214">
        <v>0.05</v>
      </c>
      <c r="F206" s="306">
        <v>2018</v>
      </c>
      <c r="G206" s="276">
        <v>72492</v>
      </c>
      <c r="H206" s="293">
        <f t="shared" si="6"/>
        <v>2.0015211560786198E-6</v>
      </c>
      <c r="I206" s="277" t="s">
        <v>165</v>
      </c>
      <c r="J206" s="264" t="s">
        <v>640</v>
      </c>
    </row>
    <row r="207" spans="1:14" ht="15.75" customHeight="1" x14ac:dyDescent="0.25">
      <c r="A207" s="326" t="s">
        <v>668</v>
      </c>
      <c r="B207" s="274" t="s">
        <v>381</v>
      </c>
      <c r="C207" s="275" t="s">
        <v>307</v>
      </c>
      <c r="D207" s="262">
        <v>1</v>
      </c>
      <c r="E207" s="214">
        <v>0.15</v>
      </c>
      <c r="F207" s="306">
        <v>2018</v>
      </c>
      <c r="G207" s="276">
        <v>25590.98</v>
      </c>
      <c r="H207" s="293">
        <f t="shared" si="6"/>
        <v>6.004563468235859E-6</v>
      </c>
      <c r="I207" s="277" t="s">
        <v>165</v>
      </c>
      <c r="J207" s="264" t="s">
        <v>641</v>
      </c>
    </row>
    <row r="208" spans="1:14" ht="15.75" customHeight="1" x14ac:dyDescent="0.25">
      <c r="A208" s="326" t="s">
        <v>666</v>
      </c>
      <c r="B208" s="274" t="s">
        <v>381</v>
      </c>
      <c r="C208" s="275" t="s">
        <v>307</v>
      </c>
      <c r="D208" s="262">
        <v>1</v>
      </c>
      <c r="E208" s="214">
        <v>0.95000000000000007</v>
      </c>
      <c r="F208" s="306">
        <v>2018</v>
      </c>
      <c r="G208" s="276">
        <v>167556</v>
      </c>
      <c r="H208" s="293">
        <f t="shared" si="6"/>
        <v>3.8028901965493778E-5</v>
      </c>
      <c r="I208" s="277" t="s">
        <v>165</v>
      </c>
      <c r="J208" s="264" t="s">
        <v>642</v>
      </c>
    </row>
    <row r="209" spans="1:19" ht="15.75" customHeight="1" x14ac:dyDescent="0.25">
      <c r="A209" s="347" t="s">
        <v>631</v>
      </c>
      <c r="B209" s="274" t="s">
        <v>381</v>
      </c>
      <c r="C209" s="275" t="s">
        <v>307</v>
      </c>
      <c r="D209" s="262">
        <v>1</v>
      </c>
      <c r="E209" s="214">
        <v>0.8</v>
      </c>
      <c r="F209" s="306">
        <v>2018</v>
      </c>
      <c r="G209" s="276">
        <v>33950.5</v>
      </c>
      <c r="H209" s="293">
        <f t="shared" si="6"/>
        <v>3.2024338497257917E-5</v>
      </c>
      <c r="I209" s="277" t="s">
        <v>165</v>
      </c>
      <c r="J209" s="264" t="s">
        <v>498</v>
      </c>
    </row>
    <row r="210" spans="1:19" ht="15.75" customHeight="1" x14ac:dyDescent="0.25">
      <c r="A210" s="353" t="s">
        <v>632</v>
      </c>
      <c r="B210" s="274" t="s">
        <v>381</v>
      </c>
      <c r="C210" s="275" t="s">
        <v>307</v>
      </c>
      <c r="D210" s="262">
        <v>1</v>
      </c>
      <c r="E210" s="214">
        <v>1.2</v>
      </c>
      <c r="F210" s="306">
        <v>2018</v>
      </c>
      <c r="G210" s="276">
        <v>33950.5</v>
      </c>
      <c r="H210" s="293">
        <f t="shared" si="6"/>
        <v>4.8036507745886872E-5</v>
      </c>
      <c r="I210" s="277" t="s">
        <v>165</v>
      </c>
      <c r="J210" s="264" t="s">
        <v>498</v>
      </c>
      <c r="R210">
        <f>SUM(E186:E210)</f>
        <v>16.55</v>
      </c>
      <c r="S210" s="163">
        <f>SUM(G186:G210)</f>
        <v>2199661.9144522967</v>
      </c>
    </row>
    <row r="211" spans="1:19" ht="15.75" customHeight="1" x14ac:dyDescent="0.25">
      <c r="A211" s="354"/>
      <c r="B211" s="274"/>
      <c r="C211" s="275"/>
      <c r="D211" s="262"/>
      <c r="E211" s="214"/>
      <c r="F211" s="341"/>
      <c r="G211" s="276"/>
      <c r="H211" s="293"/>
      <c r="I211" s="277"/>
      <c r="J211" s="264"/>
      <c r="S211" s="163"/>
    </row>
    <row r="212" spans="1:19" ht="15.75" customHeight="1" x14ac:dyDescent="0.25">
      <c r="A212" s="323" t="s">
        <v>649</v>
      </c>
      <c r="B212" s="274" t="s">
        <v>379</v>
      </c>
      <c r="C212" s="275" t="s">
        <v>307</v>
      </c>
      <c r="D212" s="262">
        <v>1</v>
      </c>
      <c r="E212" s="214">
        <v>3.2</v>
      </c>
      <c r="F212" s="341">
        <v>2014</v>
      </c>
      <c r="G212" s="276">
        <v>0</v>
      </c>
      <c r="H212" s="293">
        <f t="shared" si="6"/>
        <v>1.2809735398903167E-4</v>
      </c>
      <c r="I212" s="277" t="s">
        <v>165</v>
      </c>
      <c r="J212" s="264" t="s">
        <v>650</v>
      </c>
    </row>
    <row r="213" spans="1:19" ht="15.75" customHeight="1" x14ac:dyDescent="0.25">
      <c r="A213" s="323" t="s">
        <v>651</v>
      </c>
      <c r="B213" s="274" t="s">
        <v>379</v>
      </c>
      <c r="C213" s="275" t="s">
        <v>307</v>
      </c>
      <c r="D213" s="262">
        <v>1</v>
      </c>
      <c r="E213" s="214">
        <v>11.2</v>
      </c>
      <c r="F213" s="341">
        <v>2014</v>
      </c>
      <c r="G213" s="276">
        <v>0</v>
      </c>
      <c r="H213" s="293">
        <f t="shared" si="6"/>
        <v>4.4834073896161079E-4</v>
      </c>
      <c r="I213" s="277" t="s">
        <v>165</v>
      </c>
      <c r="J213" s="264" t="s">
        <v>652</v>
      </c>
    </row>
    <row r="214" spans="1:19" ht="15.75" customHeight="1" x14ac:dyDescent="0.25">
      <c r="A214" s="323" t="s">
        <v>653</v>
      </c>
      <c r="B214" s="274" t="s">
        <v>379</v>
      </c>
      <c r="C214" s="275" t="s">
        <v>307</v>
      </c>
      <c r="D214" s="262">
        <v>1</v>
      </c>
      <c r="E214" s="214">
        <v>23</v>
      </c>
      <c r="F214" s="341">
        <v>2014</v>
      </c>
      <c r="G214" s="276">
        <v>0</v>
      </c>
      <c r="H214" s="293">
        <f t="shared" si="6"/>
        <v>9.2069973179616509E-4</v>
      </c>
      <c r="I214" s="277" t="s">
        <v>165</v>
      </c>
      <c r="J214" s="264" t="s">
        <v>654</v>
      </c>
    </row>
    <row r="215" spans="1:19" ht="15.75" customHeight="1" x14ac:dyDescent="0.25">
      <c r="A215" s="244" t="s">
        <v>655</v>
      </c>
      <c r="B215" s="274" t="s">
        <v>379</v>
      </c>
      <c r="C215" s="275" t="s">
        <v>307</v>
      </c>
      <c r="D215" s="262">
        <v>1</v>
      </c>
      <c r="E215" s="214">
        <v>16.399999999999999</v>
      </c>
      <c r="F215" s="341">
        <v>2014</v>
      </c>
      <c r="G215" s="276">
        <v>0</v>
      </c>
      <c r="H215" s="293">
        <f t="shared" si="6"/>
        <v>6.5649893919378724E-4</v>
      </c>
      <c r="I215" s="277" t="s">
        <v>165</v>
      </c>
      <c r="J215" s="264" t="s">
        <v>656</v>
      </c>
    </row>
    <row r="216" spans="1:19" ht="15.75" customHeight="1" x14ac:dyDescent="0.25">
      <c r="A216" s="244" t="s">
        <v>657</v>
      </c>
      <c r="B216" s="274" t="s">
        <v>379</v>
      </c>
      <c r="C216" s="275" t="s">
        <v>307</v>
      </c>
      <c r="D216" s="262">
        <v>1</v>
      </c>
      <c r="E216" s="214">
        <v>16.600000000000001</v>
      </c>
      <c r="F216" s="341">
        <v>2014</v>
      </c>
      <c r="G216" s="276">
        <v>0</v>
      </c>
      <c r="H216" s="293">
        <f t="shared" si="6"/>
        <v>6.6450502381810181E-4</v>
      </c>
      <c r="I216" s="277" t="s">
        <v>165</v>
      </c>
      <c r="J216" s="264" t="s">
        <v>658</v>
      </c>
    </row>
    <row r="217" spans="1:19" ht="15.75" customHeight="1" x14ac:dyDescent="0.25">
      <c r="A217" s="244" t="s">
        <v>595</v>
      </c>
      <c r="B217" s="274" t="s">
        <v>379</v>
      </c>
      <c r="C217" s="275" t="s">
        <v>307</v>
      </c>
      <c r="D217" s="262">
        <v>1</v>
      </c>
      <c r="E217" s="298">
        <v>5</v>
      </c>
      <c r="F217" s="306">
        <v>2015</v>
      </c>
      <c r="G217" s="276">
        <v>0</v>
      </c>
      <c r="H217" s="293">
        <f>E217/$B$4</f>
        <v>2.0015211560786198E-4</v>
      </c>
      <c r="I217" s="277" t="s">
        <v>165</v>
      </c>
      <c r="J217" s="264" t="s">
        <v>539</v>
      </c>
    </row>
    <row r="218" spans="1:19" ht="15.75" customHeight="1" x14ac:dyDescent="0.25">
      <c r="A218" s="244" t="s">
        <v>601</v>
      </c>
      <c r="B218" s="274" t="s">
        <v>379</v>
      </c>
      <c r="C218" s="275" t="s">
        <v>307</v>
      </c>
      <c r="D218" s="262">
        <v>1</v>
      </c>
      <c r="E218" s="298">
        <v>17.600000000000001</v>
      </c>
      <c r="F218" s="306">
        <v>2015</v>
      </c>
      <c r="G218" s="276">
        <v>318000</v>
      </c>
      <c r="H218" s="293">
        <f>E218/$B$4</f>
        <v>7.0453544693967424E-4</v>
      </c>
      <c r="I218" s="277" t="s">
        <v>165</v>
      </c>
      <c r="J218" s="264" t="s">
        <v>545</v>
      </c>
    </row>
    <row r="219" spans="1:19" ht="15.75" customHeight="1" x14ac:dyDescent="0.25">
      <c r="A219" s="244" t="s">
        <v>602</v>
      </c>
      <c r="B219" s="274" t="s">
        <v>379</v>
      </c>
      <c r="C219" s="275" t="s">
        <v>307</v>
      </c>
      <c r="D219" s="262">
        <v>1</v>
      </c>
      <c r="E219" s="298">
        <v>16.600000000000001</v>
      </c>
      <c r="F219" s="306">
        <v>2015</v>
      </c>
      <c r="G219" s="276">
        <v>0</v>
      </c>
      <c r="H219" s="293">
        <f>E219/$B$4</f>
        <v>6.6450502381810181E-4</v>
      </c>
      <c r="I219" s="277" t="s">
        <v>165</v>
      </c>
      <c r="J219" s="264" t="s">
        <v>546</v>
      </c>
    </row>
    <row r="220" spans="1:19" ht="15.75" customHeight="1" x14ac:dyDescent="0.25">
      <c r="A220" s="244" t="s">
        <v>610</v>
      </c>
      <c r="B220" s="274" t="s">
        <v>379</v>
      </c>
      <c r="C220" s="275" t="s">
        <v>307</v>
      </c>
      <c r="D220" s="262">
        <v>1</v>
      </c>
      <c r="E220" s="298">
        <v>38.4</v>
      </c>
      <c r="F220" s="307">
        <v>2015</v>
      </c>
      <c r="G220" s="276">
        <v>0</v>
      </c>
      <c r="H220" s="293">
        <v>1.3100883627307153E-3</v>
      </c>
      <c r="I220" s="277" t="s">
        <v>165</v>
      </c>
      <c r="J220" s="264" t="s">
        <v>554</v>
      </c>
    </row>
    <row r="221" spans="1:19" ht="15.75" customHeight="1" x14ac:dyDescent="0.25">
      <c r="A221" s="244" t="s">
        <v>597</v>
      </c>
      <c r="B221" s="274" t="s">
        <v>379</v>
      </c>
      <c r="C221" s="275" t="s">
        <v>307</v>
      </c>
      <c r="D221" s="262">
        <v>1</v>
      </c>
      <c r="E221" s="298">
        <v>19.600000000000001</v>
      </c>
      <c r="F221" s="307">
        <v>2016</v>
      </c>
      <c r="G221" s="276">
        <v>0</v>
      </c>
      <c r="H221" s="293">
        <f>E221/$B$4</f>
        <v>7.8459629318281899E-4</v>
      </c>
      <c r="I221" s="277" t="s">
        <v>165</v>
      </c>
      <c r="J221" s="264" t="s">
        <v>541</v>
      </c>
    </row>
    <row r="222" spans="1:19" ht="15.75" customHeight="1" x14ac:dyDescent="0.25">
      <c r="A222" s="244" t="s">
        <v>598</v>
      </c>
      <c r="B222" s="274" t="s">
        <v>379</v>
      </c>
      <c r="C222" s="275" t="s">
        <v>307</v>
      </c>
      <c r="D222" s="262">
        <v>1</v>
      </c>
      <c r="E222" s="298">
        <v>25.560000000000002</v>
      </c>
      <c r="F222" s="307">
        <v>2016</v>
      </c>
      <c r="G222" s="276">
        <v>0</v>
      </c>
      <c r="H222" s="293">
        <f>E222/$B$4</f>
        <v>1.0231776149873906E-3</v>
      </c>
      <c r="I222" s="277" t="s">
        <v>165</v>
      </c>
      <c r="J222" s="264" t="s">
        <v>542</v>
      </c>
    </row>
    <row r="223" spans="1:19" ht="15.75" customHeight="1" x14ac:dyDescent="0.25">
      <c r="A223" s="244" t="s">
        <v>603</v>
      </c>
      <c r="B223" s="274" t="s">
        <v>379</v>
      </c>
      <c r="C223" s="275" t="s">
        <v>307</v>
      </c>
      <c r="D223" s="262">
        <v>1</v>
      </c>
      <c r="E223" s="298">
        <v>7.48</v>
      </c>
      <c r="F223" s="307">
        <v>2016</v>
      </c>
      <c r="G223" s="276">
        <v>516933.88</v>
      </c>
      <c r="H223" s="293">
        <f>E223/$B$4</f>
        <v>2.9942756494936155E-4</v>
      </c>
      <c r="I223" s="277" t="s">
        <v>165</v>
      </c>
      <c r="J223" s="264" t="s">
        <v>547</v>
      </c>
    </row>
    <row r="224" spans="1:19" ht="15.75" customHeight="1" x14ac:dyDescent="0.25">
      <c r="A224" s="244" t="s">
        <v>606</v>
      </c>
      <c r="B224" s="274" t="s">
        <v>379</v>
      </c>
      <c r="C224" s="275" t="s">
        <v>307</v>
      </c>
      <c r="D224" s="262">
        <v>1</v>
      </c>
      <c r="E224" s="298">
        <v>6.68</v>
      </c>
      <c r="F224" s="307">
        <v>2016</v>
      </c>
      <c r="G224" s="276">
        <v>9000</v>
      </c>
      <c r="H224" s="293">
        <f>E224/$B$4</f>
        <v>2.6740322645210358E-4</v>
      </c>
      <c r="I224" s="277" t="s">
        <v>165</v>
      </c>
      <c r="J224" s="264" t="s">
        <v>550</v>
      </c>
    </row>
    <row r="225" spans="1:10" ht="15.75" customHeight="1" x14ac:dyDescent="0.25">
      <c r="A225" s="244" t="s">
        <v>609</v>
      </c>
      <c r="B225" s="274" t="s">
        <v>379</v>
      </c>
      <c r="C225" s="275" t="s">
        <v>307</v>
      </c>
      <c r="D225" s="262">
        <v>1</v>
      </c>
      <c r="E225" s="298">
        <v>7.2</v>
      </c>
      <c r="F225" s="307">
        <v>2016</v>
      </c>
      <c r="G225" s="276">
        <v>5000</v>
      </c>
      <c r="H225" s="293">
        <v>2.4564156801200917E-4</v>
      </c>
      <c r="I225" s="277" t="s">
        <v>165</v>
      </c>
      <c r="J225" s="264" t="s">
        <v>553</v>
      </c>
    </row>
    <row r="226" spans="1:10" ht="15.75" customHeight="1" x14ac:dyDescent="0.25">
      <c r="A226" s="244" t="s">
        <v>659</v>
      </c>
      <c r="B226" s="274" t="s">
        <v>379</v>
      </c>
      <c r="C226" s="275" t="s">
        <v>307</v>
      </c>
      <c r="D226" s="262">
        <v>1</v>
      </c>
      <c r="E226" s="214">
        <v>18.399999999999999</v>
      </c>
      <c r="F226" s="341">
        <v>2016</v>
      </c>
      <c r="G226" s="276">
        <v>0</v>
      </c>
      <c r="H226" s="293">
        <f t="shared" si="6"/>
        <v>7.3655978543693199E-4</v>
      </c>
      <c r="I226" s="277" t="s">
        <v>165</v>
      </c>
      <c r="J226" s="264" t="s">
        <v>660</v>
      </c>
    </row>
    <row r="227" spans="1:10" ht="15.75" customHeight="1" x14ac:dyDescent="0.25">
      <c r="A227" s="244" t="s">
        <v>661</v>
      </c>
      <c r="B227" s="274" t="s">
        <v>379</v>
      </c>
      <c r="C227" s="275" t="s">
        <v>307</v>
      </c>
      <c r="D227" s="262">
        <v>1</v>
      </c>
      <c r="E227" s="214">
        <v>11.2</v>
      </c>
      <c r="F227" s="341">
        <v>2016</v>
      </c>
      <c r="G227" s="276">
        <v>0</v>
      </c>
      <c r="H227" s="293">
        <f t="shared" si="6"/>
        <v>4.4834073896161079E-4</v>
      </c>
      <c r="I227" s="277" t="s">
        <v>165</v>
      </c>
      <c r="J227" s="264" t="s">
        <v>662</v>
      </c>
    </row>
    <row r="228" spans="1:10" ht="15.75" customHeight="1" x14ac:dyDescent="0.25">
      <c r="A228" s="244" t="s">
        <v>555</v>
      </c>
      <c r="B228" s="274" t="s">
        <v>379</v>
      </c>
      <c r="C228" s="275" t="s">
        <v>307</v>
      </c>
      <c r="D228" s="262">
        <v>1</v>
      </c>
      <c r="E228" s="298">
        <v>4.6000000000000005</v>
      </c>
      <c r="F228" s="306">
        <v>2017</v>
      </c>
      <c r="G228" s="276">
        <v>0</v>
      </c>
      <c r="H228" s="293">
        <f t="shared" ref="H228:H271" si="7">E228/$B$4</f>
        <v>1.8413994635923305E-4</v>
      </c>
      <c r="I228" s="277" t="s">
        <v>165</v>
      </c>
      <c r="J228" s="264" t="s">
        <v>499</v>
      </c>
    </row>
    <row r="229" spans="1:10" ht="15.75" customHeight="1" x14ac:dyDescent="0.25">
      <c r="A229" s="244" t="s">
        <v>556</v>
      </c>
      <c r="B229" s="274" t="s">
        <v>379</v>
      </c>
      <c r="C229" s="275" t="s">
        <v>307</v>
      </c>
      <c r="D229" s="262">
        <v>1</v>
      </c>
      <c r="E229" s="298">
        <v>3.6</v>
      </c>
      <c r="F229" s="306">
        <v>2017</v>
      </c>
      <c r="G229" s="276">
        <v>0</v>
      </c>
      <c r="H229" s="293">
        <f t="shared" si="7"/>
        <v>1.4410952323766062E-4</v>
      </c>
      <c r="I229" s="277" t="s">
        <v>165</v>
      </c>
      <c r="J229" s="264" t="s">
        <v>500</v>
      </c>
    </row>
    <row r="230" spans="1:10" ht="15.75" customHeight="1" x14ac:dyDescent="0.25">
      <c r="A230" s="244" t="s">
        <v>557</v>
      </c>
      <c r="B230" s="274" t="s">
        <v>379</v>
      </c>
      <c r="C230" s="275" t="s">
        <v>307</v>
      </c>
      <c r="D230" s="262">
        <v>1</v>
      </c>
      <c r="E230" s="298">
        <v>1.2</v>
      </c>
      <c r="F230" s="306">
        <v>2017</v>
      </c>
      <c r="G230" s="276">
        <v>0</v>
      </c>
      <c r="H230" s="293">
        <f t="shared" si="7"/>
        <v>4.8036507745886872E-5</v>
      </c>
      <c r="I230" s="277" t="s">
        <v>165</v>
      </c>
      <c r="J230" s="264" t="s">
        <v>501</v>
      </c>
    </row>
    <row r="231" spans="1:10" ht="15.75" customHeight="1" x14ac:dyDescent="0.25">
      <c r="A231" s="244" t="s">
        <v>558</v>
      </c>
      <c r="B231" s="274" t="s">
        <v>379</v>
      </c>
      <c r="C231" s="275" t="s">
        <v>307</v>
      </c>
      <c r="D231" s="262">
        <v>1</v>
      </c>
      <c r="E231" s="298">
        <v>4.8</v>
      </c>
      <c r="F231" s="307">
        <v>2017</v>
      </c>
      <c r="G231" s="276">
        <v>0</v>
      </c>
      <c r="H231" s="293">
        <f t="shared" si="7"/>
        <v>1.9214603098354749E-4</v>
      </c>
      <c r="I231" s="277" t="s">
        <v>165</v>
      </c>
      <c r="J231" s="264" t="s">
        <v>502</v>
      </c>
    </row>
    <row r="232" spans="1:10" ht="15.75" customHeight="1" x14ac:dyDescent="0.25">
      <c r="A232" s="244" t="s">
        <v>559</v>
      </c>
      <c r="B232" s="274" t="s">
        <v>379</v>
      </c>
      <c r="C232" s="275" t="s">
        <v>307</v>
      </c>
      <c r="D232" s="262">
        <v>1</v>
      </c>
      <c r="E232" s="298">
        <v>6.2</v>
      </c>
      <c r="F232" s="307">
        <v>2017</v>
      </c>
      <c r="G232" s="276">
        <v>0</v>
      </c>
      <c r="H232" s="293">
        <f t="shared" si="7"/>
        <v>2.4818862335374887E-4</v>
      </c>
      <c r="I232" s="277" t="s">
        <v>165</v>
      </c>
      <c r="J232" s="264" t="s">
        <v>503</v>
      </c>
    </row>
    <row r="233" spans="1:10" ht="15.75" customHeight="1" x14ac:dyDescent="0.25">
      <c r="A233" s="244" t="s">
        <v>560</v>
      </c>
      <c r="B233" s="274" t="s">
        <v>379</v>
      </c>
      <c r="C233" s="275" t="s">
        <v>307</v>
      </c>
      <c r="D233" s="262">
        <v>1</v>
      </c>
      <c r="E233" s="298">
        <v>14.4</v>
      </c>
      <c r="F233" s="306">
        <v>2017</v>
      </c>
      <c r="G233" s="276">
        <v>0</v>
      </c>
      <c r="H233" s="293">
        <f t="shared" si="7"/>
        <v>5.7643809295064249E-4</v>
      </c>
      <c r="I233" s="277" t="s">
        <v>165</v>
      </c>
      <c r="J233" s="264" t="s">
        <v>504</v>
      </c>
    </row>
    <row r="234" spans="1:10" ht="15.75" customHeight="1" x14ac:dyDescent="0.25">
      <c r="A234" s="244" t="s">
        <v>561</v>
      </c>
      <c r="B234" s="274" t="s">
        <v>379</v>
      </c>
      <c r="C234" s="275" t="s">
        <v>307</v>
      </c>
      <c r="D234" s="262">
        <v>1</v>
      </c>
      <c r="E234" s="298">
        <v>1.4000000000000001</v>
      </c>
      <c r="F234" s="307">
        <v>2017</v>
      </c>
      <c r="G234" s="276">
        <v>0</v>
      </c>
      <c r="H234" s="293">
        <f t="shared" si="7"/>
        <v>5.6042592370201356E-5</v>
      </c>
      <c r="I234" s="277" t="s">
        <v>165</v>
      </c>
      <c r="J234" s="264" t="s">
        <v>505</v>
      </c>
    </row>
    <row r="235" spans="1:10" ht="15.75" customHeight="1" x14ac:dyDescent="0.25">
      <c r="A235" s="244" t="s">
        <v>562</v>
      </c>
      <c r="B235" s="274" t="s">
        <v>379</v>
      </c>
      <c r="C235" s="275" t="s">
        <v>307</v>
      </c>
      <c r="D235" s="262">
        <v>1</v>
      </c>
      <c r="E235" s="298">
        <v>2.5357682110763542</v>
      </c>
      <c r="F235" s="306">
        <v>2017</v>
      </c>
      <c r="G235" s="276">
        <v>0</v>
      </c>
      <c r="H235" s="293">
        <f t="shared" si="7"/>
        <v>1.0150787442761916E-4</v>
      </c>
      <c r="I235" s="277" t="s">
        <v>165</v>
      </c>
      <c r="J235" s="264" t="s">
        <v>506</v>
      </c>
    </row>
    <row r="236" spans="1:10" ht="15.75" customHeight="1" x14ac:dyDescent="0.25">
      <c r="A236" s="244" t="s">
        <v>563</v>
      </c>
      <c r="B236" s="274" t="s">
        <v>379</v>
      </c>
      <c r="C236" s="275" t="s">
        <v>307</v>
      </c>
      <c r="D236" s="262">
        <v>1</v>
      </c>
      <c r="E236" s="298">
        <v>4.28</v>
      </c>
      <c r="F236" s="307">
        <v>2017</v>
      </c>
      <c r="G236" s="276">
        <v>0</v>
      </c>
      <c r="H236" s="293">
        <f t="shared" si="7"/>
        <v>1.7133021096032985E-4</v>
      </c>
      <c r="I236" s="277" t="s">
        <v>165</v>
      </c>
      <c r="J236" s="264" t="s">
        <v>507</v>
      </c>
    </row>
    <row r="237" spans="1:10" ht="15.75" customHeight="1" x14ac:dyDescent="0.25">
      <c r="A237" s="244" t="s">
        <v>564</v>
      </c>
      <c r="B237" s="274" t="s">
        <v>379</v>
      </c>
      <c r="C237" s="275" t="s">
        <v>307</v>
      </c>
      <c r="D237" s="262">
        <v>1</v>
      </c>
      <c r="E237" s="298">
        <v>13.56</v>
      </c>
      <c r="F237" s="307">
        <v>2017</v>
      </c>
      <c r="G237" s="276">
        <v>0</v>
      </c>
      <c r="H237" s="293">
        <f t="shared" si="7"/>
        <v>5.4281253752852174E-4</v>
      </c>
      <c r="I237" s="277" t="s">
        <v>165</v>
      </c>
      <c r="J237" s="264" t="s">
        <v>508</v>
      </c>
    </row>
    <row r="238" spans="1:10" ht="15.75" customHeight="1" x14ac:dyDescent="0.25">
      <c r="A238" s="244" t="s">
        <v>565</v>
      </c>
      <c r="B238" s="274" t="s">
        <v>379</v>
      </c>
      <c r="C238" s="275" t="s">
        <v>307</v>
      </c>
      <c r="D238" s="262">
        <v>1</v>
      </c>
      <c r="E238" s="298">
        <v>8</v>
      </c>
      <c r="F238" s="307">
        <v>2017</v>
      </c>
      <c r="G238" s="276">
        <v>0</v>
      </c>
      <c r="H238" s="293">
        <f t="shared" si="7"/>
        <v>3.2024338497257915E-4</v>
      </c>
      <c r="I238" s="277" t="s">
        <v>165</v>
      </c>
      <c r="J238" s="264" t="s">
        <v>509</v>
      </c>
    </row>
    <row r="239" spans="1:10" ht="15.75" customHeight="1" x14ac:dyDescent="0.25">
      <c r="A239" s="244" t="s">
        <v>566</v>
      </c>
      <c r="B239" s="274" t="s">
        <v>379</v>
      </c>
      <c r="C239" s="275" t="s">
        <v>307</v>
      </c>
      <c r="D239" s="262">
        <v>1</v>
      </c>
      <c r="E239" s="298">
        <v>19.68</v>
      </c>
      <c r="F239" s="306">
        <v>2017</v>
      </c>
      <c r="G239" s="276">
        <v>0</v>
      </c>
      <c r="H239" s="293">
        <f t="shared" si="7"/>
        <v>7.8779872703254477E-4</v>
      </c>
      <c r="I239" s="277" t="s">
        <v>165</v>
      </c>
      <c r="J239" s="264" t="s">
        <v>510</v>
      </c>
    </row>
    <row r="240" spans="1:10" ht="15.75" customHeight="1" x14ac:dyDescent="0.25">
      <c r="A240" s="244" t="s">
        <v>567</v>
      </c>
      <c r="B240" s="274" t="s">
        <v>379</v>
      </c>
      <c r="C240" s="275" t="s">
        <v>307</v>
      </c>
      <c r="D240" s="262">
        <v>1</v>
      </c>
      <c r="E240" s="298">
        <v>2.2000000000000002</v>
      </c>
      <c r="F240" s="306">
        <v>2017</v>
      </c>
      <c r="G240" s="276">
        <v>0</v>
      </c>
      <c r="H240" s="293">
        <f t="shared" si="7"/>
        <v>8.806693086745928E-5</v>
      </c>
      <c r="I240" s="277" t="s">
        <v>165</v>
      </c>
      <c r="J240" s="264" t="s">
        <v>511</v>
      </c>
    </row>
    <row r="241" spans="1:10" ht="15.75" customHeight="1" x14ac:dyDescent="0.25">
      <c r="A241" s="244" t="s">
        <v>568</v>
      </c>
      <c r="B241" s="274" t="s">
        <v>379</v>
      </c>
      <c r="C241" s="275" t="s">
        <v>307</v>
      </c>
      <c r="D241" s="262">
        <v>1</v>
      </c>
      <c r="E241" s="298">
        <v>2</v>
      </c>
      <c r="F241" s="307">
        <v>2017</v>
      </c>
      <c r="G241" s="276">
        <v>0</v>
      </c>
      <c r="H241" s="293">
        <f t="shared" si="7"/>
        <v>8.0060846243144789E-5</v>
      </c>
      <c r="I241" s="277" t="s">
        <v>165</v>
      </c>
      <c r="J241" s="264" t="s">
        <v>512</v>
      </c>
    </row>
    <row r="242" spans="1:10" ht="15.75" customHeight="1" x14ac:dyDescent="0.25">
      <c r="A242" s="244" t="s">
        <v>569</v>
      </c>
      <c r="B242" s="274" t="s">
        <v>379</v>
      </c>
      <c r="C242" s="275" t="s">
        <v>307</v>
      </c>
      <c r="D242" s="262">
        <v>1</v>
      </c>
      <c r="E242" s="298">
        <v>4.8</v>
      </c>
      <c r="F242" s="306">
        <v>2017</v>
      </c>
      <c r="G242" s="276">
        <v>0</v>
      </c>
      <c r="H242" s="293">
        <f t="shared" si="7"/>
        <v>1.9214603098354749E-4</v>
      </c>
      <c r="I242" s="277" t="s">
        <v>165</v>
      </c>
      <c r="J242" s="264" t="s">
        <v>513</v>
      </c>
    </row>
    <row r="243" spans="1:10" ht="15.75" customHeight="1" x14ac:dyDescent="0.25">
      <c r="A243" s="244" t="s">
        <v>570</v>
      </c>
      <c r="B243" s="274" t="s">
        <v>379</v>
      </c>
      <c r="C243" s="275" t="s">
        <v>307</v>
      </c>
      <c r="D243" s="262">
        <v>1</v>
      </c>
      <c r="E243" s="298">
        <v>3.6</v>
      </c>
      <c r="F243" s="306">
        <v>2017</v>
      </c>
      <c r="G243" s="276">
        <v>0</v>
      </c>
      <c r="H243" s="293">
        <f t="shared" si="7"/>
        <v>1.4410952323766062E-4</v>
      </c>
      <c r="I243" s="277" t="s">
        <v>165</v>
      </c>
      <c r="J243" s="264" t="s">
        <v>514</v>
      </c>
    </row>
    <row r="244" spans="1:10" ht="15.75" customHeight="1" x14ac:dyDescent="0.25">
      <c r="A244" s="244" t="s">
        <v>571</v>
      </c>
      <c r="B244" s="274" t="s">
        <v>379</v>
      </c>
      <c r="C244" s="275" t="s">
        <v>307</v>
      </c>
      <c r="D244" s="262">
        <v>1</v>
      </c>
      <c r="E244" s="298">
        <v>3</v>
      </c>
      <c r="F244" s="306">
        <v>2017</v>
      </c>
      <c r="G244" s="276">
        <v>0</v>
      </c>
      <c r="H244" s="293">
        <f t="shared" si="7"/>
        <v>1.2009126936471719E-4</v>
      </c>
      <c r="I244" s="277" t="s">
        <v>165</v>
      </c>
      <c r="J244" s="264" t="s">
        <v>515</v>
      </c>
    </row>
    <row r="245" spans="1:10" ht="15.75" customHeight="1" x14ac:dyDescent="0.25">
      <c r="A245" s="244" t="s">
        <v>572</v>
      </c>
      <c r="B245" s="274" t="s">
        <v>379</v>
      </c>
      <c r="C245" s="275" t="s">
        <v>307</v>
      </c>
      <c r="D245" s="262">
        <v>1</v>
      </c>
      <c r="E245" s="298">
        <v>4.16</v>
      </c>
      <c r="F245" s="307">
        <v>2017</v>
      </c>
      <c r="G245" s="276">
        <v>0</v>
      </c>
      <c r="H245" s="293">
        <f t="shared" si="7"/>
        <v>1.6652656018574118E-4</v>
      </c>
      <c r="I245" s="277" t="s">
        <v>165</v>
      </c>
      <c r="J245" s="264" t="s">
        <v>516</v>
      </c>
    </row>
    <row r="246" spans="1:10" ht="15.75" customHeight="1" x14ac:dyDescent="0.25">
      <c r="A246" s="244" t="s">
        <v>573</v>
      </c>
      <c r="B246" s="274" t="s">
        <v>379</v>
      </c>
      <c r="C246" s="275" t="s">
        <v>307</v>
      </c>
      <c r="D246" s="262">
        <v>1</v>
      </c>
      <c r="E246" s="298">
        <v>4.4800000000000004</v>
      </c>
      <c r="F246" s="307">
        <v>2017</v>
      </c>
      <c r="G246" s="276">
        <v>0</v>
      </c>
      <c r="H246" s="293">
        <f t="shared" si="7"/>
        <v>1.7933629558464435E-4</v>
      </c>
      <c r="I246" s="277" t="s">
        <v>165</v>
      </c>
      <c r="J246" s="264" t="s">
        <v>517</v>
      </c>
    </row>
    <row r="247" spans="1:10" ht="15.75" customHeight="1" x14ac:dyDescent="0.25">
      <c r="A247" s="244" t="s">
        <v>574</v>
      </c>
      <c r="B247" s="274" t="s">
        <v>379</v>
      </c>
      <c r="C247" s="275" t="s">
        <v>307</v>
      </c>
      <c r="D247" s="262">
        <v>1</v>
      </c>
      <c r="E247" s="298">
        <v>1.3541167385873707</v>
      </c>
      <c r="F247" s="306">
        <v>2017</v>
      </c>
      <c r="G247" s="276">
        <v>0</v>
      </c>
      <c r="H247" s="293">
        <f t="shared" si="7"/>
        <v>5.4205866001656087E-5</v>
      </c>
      <c r="I247" s="277" t="s">
        <v>165</v>
      </c>
      <c r="J247" s="264" t="s">
        <v>518</v>
      </c>
    </row>
    <row r="248" spans="1:10" ht="15.75" customHeight="1" x14ac:dyDescent="0.25">
      <c r="A248" s="244" t="s">
        <v>575</v>
      </c>
      <c r="B248" s="274" t="s">
        <v>379</v>
      </c>
      <c r="C248" s="275" t="s">
        <v>307</v>
      </c>
      <c r="D248" s="262">
        <v>1</v>
      </c>
      <c r="E248" s="298">
        <v>4.529572368681392</v>
      </c>
      <c r="F248" s="307">
        <v>2017</v>
      </c>
      <c r="G248" s="276">
        <v>0</v>
      </c>
      <c r="H248" s="293">
        <f t="shared" si="7"/>
        <v>1.8132069847809904E-4</v>
      </c>
      <c r="I248" s="277" t="s">
        <v>165</v>
      </c>
      <c r="J248" s="264" t="s">
        <v>519</v>
      </c>
    </row>
    <row r="249" spans="1:10" ht="15.75" customHeight="1" x14ac:dyDescent="0.25">
      <c r="A249" s="244" t="s">
        <v>576</v>
      </c>
      <c r="B249" s="274" t="s">
        <v>379</v>
      </c>
      <c r="C249" s="275" t="s">
        <v>307</v>
      </c>
      <c r="D249" s="262">
        <v>1</v>
      </c>
      <c r="E249" s="298">
        <v>11.200000000000001</v>
      </c>
      <c r="F249" s="306">
        <v>2017</v>
      </c>
      <c r="G249" s="276">
        <v>0</v>
      </c>
      <c r="H249" s="293">
        <f t="shared" si="7"/>
        <v>4.4834073896161085E-4</v>
      </c>
      <c r="I249" s="277" t="s">
        <v>165</v>
      </c>
      <c r="J249" s="264" t="s">
        <v>520</v>
      </c>
    </row>
    <row r="250" spans="1:10" ht="15.75" customHeight="1" x14ac:dyDescent="0.25">
      <c r="A250" s="244" t="s">
        <v>577</v>
      </c>
      <c r="B250" s="274" t="s">
        <v>379</v>
      </c>
      <c r="C250" s="275" t="s">
        <v>307</v>
      </c>
      <c r="D250" s="262">
        <v>1</v>
      </c>
      <c r="E250" s="298">
        <v>17.96</v>
      </c>
      <c r="F250" s="307">
        <v>2017</v>
      </c>
      <c r="G250" s="276">
        <v>0</v>
      </c>
      <c r="H250" s="293">
        <f t="shared" si="7"/>
        <v>7.1894639926344027E-4</v>
      </c>
      <c r="I250" s="277" t="s">
        <v>165</v>
      </c>
      <c r="J250" s="264" t="s">
        <v>521</v>
      </c>
    </row>
    <row r="251" spans="1:10" ht="15.75" customHeight="1" x14ac:dyDescent="0.25">
      <c r="A251" s="244" t="s">
        <v>578</v>
      </c>
      <c r="B251" s="274" t="s">
        <v>379</v>
      </c>
      <c r="C251" s="275" t="s">
        <v>307</v>
      </c>
      <c r="D251" s="262">
        <v>1</v>
      </c>
      <c r="E251" s="298">
        <v>2</v>
      </c>
      <c r="F251" s="307">
        <v>2017</v>
      </c>
      <c r="G251" s="276">
        <v>0</v>
      </c>
      <c r="H251" s="293">
        <f t="shared" si="7"/>
        <v>8.0060846243144789E-5</v>
      </c>
      <c r="I251" s="277" t="s">
        <v>165</v>
      </c>
      <c r="J251" s="264" t="s">
        <v>522</v>
      </c>
    </row>
    <row r="252" spans="1:10" ht="15.75" customHeight="1" x14ac:dyDescent="0.25">
      <c r="A252" s="244" t="s">
        <v>579</v>
      </c>
      <c r="B252" s="274" t="s">
        <v>379</v>
      </c>
      <c r="C252" s="275" t="s">
        <v>307</v>
      </c>
      <c r="D252" s="262">
        <v>1</v>
      </c>
      <c r="E252" s="298">
        <v>6.8</v>
      </c>
      <c r="F252" s="307">
        <v>2017</v>
      </c>
      <c r="G252" s="276">
        <v>0</v>
      </c>
      <c r="H252" s="293">
        <f t="shared" si="7"/>
        <v>2.7220687722669226E-4</v>
      </c>
      <c r="I252" s="277" t="s">
        <v>165</v>
      </c>
      <c r="J252" s="264" t="s">
        <v>523</v>
      </c>
    </row>
    <row r="253" spans="1:10" ht="15.75" customHeight="1" x14ac:dyDescent="0.25">
      <c r="A253" s="244" t="s">
        <v>580</v>
      </c>
      <c r="B253" s="274" t="s">
        <v>379</v>
      </c>
      <c r="C253" s="275" t="s">
        <v>307</v>
      </c>
      <c r="D253" s="262">
        <v>1</v>
      </c>
      <c r="E253" s="298">
        <v>5.2</v>
      </c>
      <c r="F253" s="306">
        <v>2017</v>
      </c>
      <c r="G253" s="276">
        <v>0</v>
      </c>
      <c r="H253" s="293">
        <f t="shared" si="7"/>
        <v>2.0815820023217647E-4</v>
      </c>
      <c r="I253" s="277" t="s">
        <v>165</v>
      </c>
      <c r="J253" s="264" t="s">
        <v>524</v>
      </c>
    </row>
    <row r="254" spans="1:10" ht="15.75" customHeight="1" x14ac:dyDescent="0.25">
      <c r="A254" s="244" t="s">
        <v>581</v>
      </c>
      <c r="B254" s="274" t="s">
        <v>379</v>
      </c>
      <c r="C254" s="275" t="s">
        <v>307</v>
      </c>
      <c r="D254" s="262">
        <v>1</v>
      </c>
      <c r="E254" s="298">
        <v>6.4</v>
      </c>
      <c r="F254" s="307">
        <v>2017</v>
      </c>
      <c r="G254" s="276">
        <v>0</v>
      </c>
      <c r="H254" s="293">
        <f t="shared" si="7"/>
        <v>2.5619470797806333E-4</v>
      </c>
      <c r="I254" s="277" t="s">
        <v>165</v>
      </c>
      <c r="J254" s="264" t="s">
        <v>525</v>
      </c>
    </row>
    <row r="255" spans="1:10" ht="15.75" customHeight="1" x14ac:dyDescent="0.25">
      <c r="A255" s="244" t="s">
        <v>582</v>
      </c>
      <c r="B255" s="274" t="s">
        <v>379</v>
      </c>
      <c r="C255" s="275" t="s">
        <v>307</v>
      </c>
      <c r="D255" s="262">
        <v>1</v>
      </c>
      <c r="E255" s="298">
        <v>2.2800000000000002</v>
      </c>
      <c r="F255" s="306">
        <v>2017</v>
      </c>
      <c r="G255" s="276">
        <v>0</v>
      </c>
      <c r="H255" s="293">
        <f t="shared" si="7"/>
        <v>9.1269364717185065E-5</v>
      </c>
      <c r="I255" s="277" t="s">
        <v>165</v>
      </c>
      <c r="J255" s="264" t="s">
        <v>526</v>
      </c>
    </row>
    <row r="256" spans="1:10" ht="15.75" customHeight="1" x14ac:dyDescent="0.25">
      <c r="A256" s="244" t="s">
        <v>583</v>
      </c>
      <c r="B256" s="274" t="s">
        <v>379</v>
      </c>
      <c r="C256" s="275" t="s">
        <v>307</v>
      </c>
      <c r="D256" s="262">
        <v>1</v>
      </c>
      <c r="E256" s="298">
        <v>19.2</v>
      </c>
      <c r="F256" s="307">
        <v>2017</v>
      </c>
      <c r="G256" s="276">
        <v>0</v>
      </c>
      <c r="H256" s="293">
        <f t="shared" si="7"/>
        <v>7.6858412393418995E-4</v>
      </c>
      <c r="I256" s="277" t="s">
        <v>165</v>
      </c>
      <c r="J256" s="264" t="s">
        <v>527</v>
      </c>
    </row>
    <row r="257" spans="1:10" ht="15.75" customHeight="1" x14ac:dyDescent="0.25">
      <c r="A257" s="244" t="s">
        <v>584</v>
      </c>
      <c r="B257" s="274" t="s">
        <v>379</v>
      </c>
      <c r="C257" s="275" t="s">
        <v>307</v>
      </c>
      <c r="D257" s="262">
        <v>1</v>
      </c>
      <c r="E257" s="298">
        <v>2.2000000000000002</v>
      </c>
      <c r="F257" s="307">
        <v>2017</v>
      </c>
      <c r="G257" s="276">
        <v>0</v>
      </c>
      <c r="H257" s="293">
        <f t="shared" si="7"/>
        <v>8.806693086745928E-5</v>
      </c>
      <c r="I257" s="277" t="s">
        <v>165</v>
      </c>
      <c r="J257" s="264" t="s">
        <v>528</v>
      </c>
    </row>
    <row r="258" spans="1:10" ht="15.75" customHeight="1" x14ac:dyDescent="0.25">
      <c r="A258" s="244" t="s">
        <v>585</v>
      </c>
      <c r="B258" s="274" t="s">
        <v>379</v>
      </c>
      <c r="C258" s="275" t="s">
        <v>307</v>
      </c>
      <c r="D258" s="262">
        <v>1</v>
      </c>
      <c r="E258" s="298">
        <v>3.7600000000000002</v>
      </c>
      <c r="F258" s="307">
        <v>2017</v>
      </c>
      <c r="G258" s="276">
        <v>0</v>
      </c>
      <c r="H258" s="293">
        <f t="shared" si="7"/>
        <v>1.5051439093711222E-4</v>
      </c>
      <c r="I258" s="277" t="s">
        <v>165</v>
      </c>
      <c r="J258" s="264" t="s">
        <v>529</v>
      </c>
    </row>
    <row r="259" spans="1:10" ht="15.75" customHeight="1" x14ac:dyDescent="0.25">
      <c r="A259" s="244" t="s">
        <v>586</v>
      </c>
      <c r="B259" s="274" t="s">
        <v>379</v>
      </c>
      <c r="C259" s="275" t="s">
        <v>307</v>
      </c>
      <c r="D259" s="262">
        <v>1</v>
      </c>
      <c r="E259" s="298">
        <v>15.293419736527401</v>
      </c>
      <c r="F259" s="307">
        <v>2017</v>
      </c>
      <c r="G259" s="276">
        <v>0</v>
      </c>
      <c r="H259" s="293">
        <f t="shared" si="7"/>
        <v>6.122020630289981E-4</v>
      </c>
      <c r="I259" s="277" t="s">
        <v>165</v>
      </c>
      <c r="J259" s="264" t="s">
        <v>530</v>
      </c>
    </row>
    <row r="260" spans="1:10" ht="15.75" customHeight="1" x14ac:dyDescent="0.25">
      <c r="A260" s="244" t="s">
        <v>587</v>
      </c>
      <c r="B260" s="274" t="s">
        <v>379</v>
      </c>
      <c r="C260" s="275" t="s">
        <v>307</v>
      </c>
      <c r="D260" s="262">
        <v>1</v>
      </c>
      <c r="E260" s="298">
        <v>6.4112388323504987</v>
      </c>
      <c r="F260" s="306">
        <v>2017</v>
      </c>
      <c r="G260" s="276">
        <v>0</v>
      </c>
      <c r="H260" s="293">
        <f t="shared" si="7"/>
        <v>2.5664460319244623E-4</v>
      </c>
      <c r="I260" s="277" t="s">
        <v>165</v>
      </c>
      <c r="J260" s="264" t="s">
        <v>531</v>
      </c>
    </row>
    <row r="261" spans="1:10" ht="15.75" customHeight="1" x14ac:dyDescent="0.25">
      <c r="A261" s="244" t="s">
        <v>588</v>
      </c>
      <c r="B261" s="274" t="s">
        <v>379</v>
      </c>
      <c r="C261" s="275" t="s">
        <v>307</v>
      </c>
      <c r="D261" s="262">
        <v>1</v>
      </c>
      <c r="E261" s="298">
        <v>2.88</v>
      </c>
      <c r="F261" s="307">
        <v>2017</v>
      </c>
      <c r="G261" s="276">
        <v>0</v>
      </c>
      <c r="H261" s="293">
        <f t="shared" si="7"/>
        <v>1.152876185901285E-4</v>
      </c>
      <c r="I261" s="277" t="s">
        <v>165</v>
      </c>
      <c r="J261" s="264" t="s">
        <v>532</v>
      </c>
    </row>
    <row r="262" spans="1:10" ht="15.75" customHeight="1" x14ac:dyDescent="0.25">
      <c r="A262" s="244" t="s">
        <v>589</v>
      </c>
      <c r="B262" s="274" t="s">
        <v>379</v>
      </c>
      <c r="C262" s="275" t="s">
        <v>307</v>
      </c>
      <c r="D262" s="262">
        <v>1</v>
      </c>
      <c r="E262" s="298">
        <v>5.6000000000000005</v>
      </c>
      <c r="F262" s="306">
        <v>2017</v>
      </c>
      <c r="G262" s="276">
        <v>0</v>
      </c>
      <c r="H262" s="293">
        <f t="shared" si="7"/>
        <v>2.2417036948080542E-4</v>
      </c>
      <c r="I262" s="277" t="s">
        <v>165</v>
      </c>
      <c r="J262" s="264" t="s">
        <v>533</v>
      </c>
    </row>
    <row r="263" spans="1:10" ht="15.75" customHeight="1" x14ac:dyDescent="0.25">
      <c r="A263" s="244" t="s">
        <v>590</v>
      </c>
      <c r="B263" s="274" t="s">
        <v>379</v>
      </c>
      <c r="C263" s="275" t="s">
        <v>307</v>
      </c>
      <c r="D263" s="262">
        <v>1</v>
      </c>
      <c r="E263" s="298">
        <v>1.6</v>
      </c>
      <c r="F263" s="306">
        <v>2017</v>
      </c>
      <c r="G263" s="276">
        <v>0</v>
      </c>
      <c r="H263" s="293">
        <f t="shared" si="7"/>
        <v>6.4048676994515834E-5</v>
      </c>
      <c r="I263" s="277" t="s">
        <v>165</v>
      </c>
      <c r="J263" s="264" t="s">
        <v>534</v>
      </c>
    </row>
    <row r="264" spans="1:10" ht="15.75" customHeight="1" x14ac:dyDescent="0.25">
      <c r="A264" s="244" t="s">
        <v>591</v>
      </c>
      <c r="B264" s="274" t="s">
        <v>379</v>
      </c>
      <c r="C264" s="275" t="s">
        <v>307</v>
      </c>
      <c r="D264" s="262">
        <v>1</v>
      </c>
      <c r="E264" s="298">
        <v>0.6</v>
      </c>
      <c r="F264" s="307">
        <v>2017</v>
      </c>
      <c r="G264" s="276">
        <v>0</v>
      </c>
      <c r="H264" s="293">
        <f t="shared" si="7"/>
        <v>2.4018253872943436E-5</v>
      </c>
      <c r="I264" s="277" t="s">
        <v>165</v>
      </c>
      <c r="J264" s="264" t="s">
        <v>535</v>
      </c>
    </row>
    <row r="265" spans="1:10" ht="15.75" customHeight="1" x14ac:dyDescent="0.25">
      <c r="A265" s="244" t="s">
        <v>592</v>
      </c>
      <c r="B265" s="274" t="s">
        <v>379</v>
      </c>
      <c r="C265" s="275" t="s">
        <v>307</v>
      </c>
      <c r="D265" s="262">
        <v>1</v>
      </c>
      <c r="E265" s="298">
        <v>9.6</v>
      </c>
      <c r="F265" s="306">
        <v>2017</v>
      </c>
      <c r="G265" s="276">
        <v>0</v>
      </c>
      <c r="H265" s="293">
        <f t="shared" si="7"/>
        <v>3.8429206196709497E-4</v>
      </c>
      <c r="I265" s="277" t="s">
        <v>165</v>
      </c>
      <c r="J265" s="264" t="s">
        <v>536</v>
      </c>
    </row>
    <row r="266" spans="1:10" ht="15.75" customHeight="1" x14ac:dyDescent="0.25">
      <c r="A266" s="244" t="s">
        <v>593</v>
      </c>
      <c r="B266" s="274" t="s">
        <v>379</v>
      </c>
      <c r="C266" s="275" t="s">
        <v>307</v>
      </c>
      <c r="D266" s="262">
        <v>1</v>
      </c>
      <c r="E266" s="298">
        <v>7.6000000000000005</v>
      </c>
      <c r="F266" s="306">
        <v>2017</v>
      </c>
      <c r="G266" s="276">
        <v>0</v>
      </c>
      <c r="H266" s="293">
        <f t="shared" si="7"/>
        <v>3.0423121572395023E-4</v>
      </c>
      <c r="I266" s="277" t="s">
        <v>165</v>
      </c>
      <c r="J266" s="264" t="s">
        <v>537</v>
      </c>
    </row>
    <row r="267" spans="1:10" ht="15.75" customHeight="1" x14ac:dyDescent="0.25">
      <c r="A267" s="244" t="s">
        <v>594</v>
      </c>
      <c r="B267" s="274" t="s">
        <v>379</v>
      </c>
      <c r="C267" s="275" t="s">
        <v>307</v>
      </c>
      <c r="D267" s="262">
        <v>1</v>
      </c>
      <c r="E267" s="298">
        <v>6.3696391430718933</v>
      </c>
      <c r="F267" s="306">
        <v>2017</v>
      </c>
      <c r="G267" s="276">
        <v>0</v>
      </c>
      <c r="H267" s="293">
        <f t="shared" si="7"/>
        <v>2.549793500288977E-4</v>
      </c>
      <c r="I267" s="277" t="s">
        <v>165</v>
      </c>
      <c r="J267" s="264" t="s">
        <v>538</v>
      </c>
    </row>
    <row r="268" spans="1:10" ht="15.75" customHeight="1" x14ac:dyDescent="0.25">
      <c r="A268" s="244" t="s">
        <v>596</v>
      </c>
      <c r="B268" s="274" t="s">
        <v>379</v>
      </c>
      <c r="C268" s="275" t="s">
        <v>307</v>
      </c>
      <c r="D268" s="262">
        <v>1</v>
      </c>
      <c r="E268" s="298">
        <v>19.48</v>
      </c>
      <c r="F268" s="306">
        <v>2017</v>
      </c>
      <c r="G268" s="276">
        <v>429200</v>
      </c>
      <c r="H268" s="293">
        <f t="shared" si="7"/>
        <v>7.7979264240823031E-4</v>
      </c>
      <c r="I268" s="277" t="s">
        <v>165</v>
      </c>
      <c r="J268" s="264" t="s">
        <v>540</v>
      </c>
    </row>
    <row r="269" spans="1:10" ht="15.75" customHeight="1" x14ac:dyDescent="0.25">
      <c r="A269" s="244" t="s">
        <v>599</v>
      </c>
      <c r="B269" s="274" t="s">
        <v>379</v>
      </c>
      <c r="C269" s="275" t="s">
        <v>307</v>
      </c>
      <c r="D269" s="262">
        <v>1</v>
      </c>
      <c r="E269" s="298">
        <v>4.96</v>
      </c>
      <c r="F269" s="306">
        <v>2017</v>
      </c>
      <c r="G269" s="276">
        <v>0</v>
      </c>
      <c r="H269" s="293">
        <f t="shared" si="7"/>
        <v>1.9855089868299909E-4</v>
      </c>
      <c r="I269" s="277" t="s">
        <v>165</v>
      </c>
      <c r="J269" s="264" t="s">
        <v>543</v>
      </c>
    </row>
    <row r="270" spans="1:10" ht="15.75" customHeight="1" x14ac:dyDescent="0.25">
      <c r="A270" s="244" t="s">
        <v>600</v>
      </c>
      <c r="B270" s="274" t="s">
        <v>379</v>
      </c>
      <c r="C270" s="275" t="s">
        <v>307</v>
      </c>
      <c r="D270" s="262">
        <v>1</v>
      </c>
      <c r="E270" s="298">
        <v>12</v>
      </c>
      <c r="F270" s="306">
        <v>2017</v>
      </c>
      <c r="G270" s="276">
        <v>0</v>
      </c>
      <c r="H270" s="293">
        <f t="shared" si="7"/>
        <v>4.8036507745886876E-4</v>
      </c>
      <c r="I270" s="277" t="s">
        <v>165</v>
      </c>
      <c r="J270" s="264" t="s">
        <v>544</v>
      </c>
    </row>
    <row r="271" spans="1:10" ht="15.75" customHeight="1" x14ac:dyDescent="0.25">
      <c r="A271" s="244" t="s">
        <v>604</v>
      </c>
      <c r="B271" s="274" t="s">
        <v>379</v>
      </c>
      <c r="C271" s="275" t="s">
        <v>307</v>
      </c>
      <c r="D271" s="262">
        <v>1</v>
      </c>
      <c r="E271" s="298">
        <v>1.84</v>
      </c>
      <c r="F271" s="308">
        <v>2018</v>
      </c>
      <c r="G271" s="276">
        <v>151653.85</v>
      </c>
      <c r="H271" s="293">
        <f t="shared" si="7"/>
        <v>7.3655978543693204E-5</v>
      </c>
      <c r="I271" s="277" t="s">
        <v>165</v>
      </c>
      <c r="J271" s="264" t="s">
        <v>548</v>
      </c>
    </row>
    <row r="272" spans="1:10" ht="15.75" customHeight="1" x14ac:dyDescent="0.25">
      <c r="A272" s="244" t="s">
        <v>605</v>
      </c>
      <c r="B272" s="274" t="s">
        <v>379</v>
      </c>
      <c r="C272" s="275" t="s">
        <v>307</v>
      </c>
      <c r="D272" s="262">
        <v>1</v>
      </c>
      <c r="E272" s="298">
        <v>10.92</v>
      </c>
      <c r="F272" s="307">
        <v>2017</v>
      </c>
      <c r="G272" s="276">
        <v>775898.02</v>
      </c>
      <c r="H272" s="293">
        <f t="shared" ref="H272:H278" si="8">E272/$B$4</f>
        <v>4.3713222048757055E-4</v>
      </c>
      <c r="I272" s="277" t="s">
        <v>165</v>
      </c>
      <c r="J272" s="264" t="s">
        <v>549</v>
      </c>
    </row>
    <row r="273" spans="1:19" ht="15.75" customHeight="1" x14ac:dyDescent="0.25">
      <c r="A273" s="244" t="s">
        <v>607</v>
      </c>
      <c r="B273" s="274" t="s">
        <v>379</v>
      </c>
      <c r="C273" s="275" t="s">
        <v>307</v>
      </c>
      <c r="D273" s="262">
        <v>1</v>
      </c>
      <c r="E273" s="298">
        <v>26.68</v>
      </c>
      <c r="F273" s="307">
        <v>2017</v>
      </c>
      <c r="G273" s="276">
        <v>0</v>
      </c>
      <c r="H273" s="293">
        <v>9.1023847702227829E-4</v>
      </c>
      <c r="I273" s="277" t="s">
        <v>165</v>
      </c>
      <c r="J273" s="264" t="s">
        <v>551</v>
      </c>
    </row>
    <row r="274" spans="1:19" ht="15.75" customHeight="1" x14ac:dyDescent="0.25">
      <c r="A274" s="244" t="s">
        <v>608</v>
      </c>
      <c r="B274" s="274" t="s">
        <v>379</v>
      </c>
      <c r="C274" s="275" t="s">
        <v>307</v>
      </c>
      <c r="D274" s="262">
        <v>1</v>
      </c>
      <c r="E274" s="298">
        <v>29.6</v>
      </c>
      <c r="F274" s="307">
        <v>2018</v>
      </c>
      <c r="G274" s="276">
        <v>0</v>
      </c>
      <c r="H274" s="293">
        <v>1.0098597796049265E-3</v>
      </c>
      <c r="I274" s="277" t="s">
        <v>165</v>
      </c>
      <c r="J274" s="264" t="s">
        <v>552</v>
      </c>
    </row>
    <row r="275" spans="1:19" ht="15.75" customHeight="1" x14ac:dyDescent="0.25">
      <c r="A275" s="326"/>
      <c r="B275" s="274"/>
      <c r="C275" s="275"/>
      <c r="D275" s="262"/>
      <c r="E275" s="298"/>
      <c r="F275" s="343"/>
      <c r="G275" s="276"/>
      <c r="H275" s="293"/>
      <c r="I275" s="277"/>
      <c r="J275" s="264"/>
    </row>
    <row r="276" spans="1:19" ht="15.75" customHeight="1" x14ac:dyDescent="0.25">
      <c r="A276" s="349" t="s">
        <v>644</v>
      </c>
      <c r="B276" s="274" t="s">
        <v>646</v>
      </c>
      <c r="C276" s="275" t="s">
        <v>307</v>
      </c>
      <c r="D276" s="262">
        <v>1</v>
      </c>
      <c r="E276" s="351">
        <v>0.114741</v>
      </c>
      <c r="F276" s="352">
        <v>2014</v>
      </c>
      <c r="G276" s="276">
        <v>189350</v>
      </c>
      <c r="H276" s="293">
        <f>E276/$B$4</f>
        <v>4.5931307793923381E-6</v>
      </c>
      <c r="I276" s="277" t="s">
        <v>165</v>
      </c>
      <c r="J276" s="264" t="s">
        <v>647</v>
      </c>
    </row>
    <row r="277" spans="1:19" ht="15.75" customHeight="1" x14ac:dyDescent="0.25">
      <c r="A277" s="348" t="s">
        <v>643</v>
      </c>
      <c r="B277" s="274" t="s">
        <v>646</v>
      </c>
      <c r="C277" s="275" t="s">
        <v>307</v>
      </c>
      <c r="D277" s="262">
        <v>1</v>
      </c>
      <c r="E277" s="350">
        <v>7.5642791551882457E-2</v>
      </c>
      <c r="F277" s="352">
        <v>2017</v>
      </c>
      <c r="G277" s="276">
        <v>0</v>
      </c>
      <c r="H277" s="293">
        <f t="shared" si="8"/>
        <v>3.0280129519187564E-6</v>
      </c>
      <c r="I277" s="277" t="s">
        <v>165</v>
      </c>
      <c r="J277" s="264" t="s">
        <v>360</v>
      </c>
    </row>
    <row r="278" spans="1:19" ht="15.75" customHeight="1" x14ac:dyDescent="0.25">
      <c r="A278" s="348" t="s">
        <v>645</v>
      </c>
      <c r="B278" s="274" t="s">
        <v>646</v>
      </c>
      <c r="C278" s="275" t="s">
        <v>307</v>
      </c>
      <c r="D278" s="262">
        <v>1</v>
      </c>
      <c r="E278" s="350">
        <v>0.26457700000000001</v>
      </c>
      <c r="F278" s="352">
        <v>2017</v>
      </c>
      <c r="G278" s="276">
        <v>5000</v>
      </c>
      <c r="H278" s="293">
        <f t="shared" si="8"/>
        <v>1.059112925823626E-5</v>
      </c>
      <c r="I278" s="277" t="s">
        <v>165</v>
      </c>
      <c r="J278" s="264" t="s">
        <v>648</v>
      </c>
    </row>
    <row r="279" spans="1:19" ht="15.75" customHeight="1" thickBot="1" x14ac:dyDescent="0.3">
      <c r="A279" s="244"/>
      <c r="B279" s="274"/>
      <c r="C279" s="345"/>
      <c r="D279" s="262"/>
      <c r="E279" s="214"/>
      <c r="F279" s="263"/>
      <c r="G279" s="276"/>
      <c r="H279" s="90"/>
      <c r="I279" s="277"/>
      <c r="J279" s="264"/>
    </row>
    <row r="280" spans="1:19" ht="30" customHeight="1" thickBot="1" x14ac:dyDescent="0.3">
      <c r="A280" s="251" t="s">
        <v>99</v>
      </c>
      <c r="B280" s="278"/>
      <c r="C280" s="279"/>
      <c r="D280" s="267">
        <f>SUM(D178:D279)</f>
        <v>1064</v>
      </c>
      <c r="E280" s="280">
        <f>SUM(E178:E279)</f>
        <v>882.2587158218472</v>
      </c>
      <c r="F280" s="268"/>
      <c r="G280" s="256">
        <f>SUM(G178:G279)</f>
        <v>5548519.6644522958</v>
      </c>
      <c r="H280" s="257">
        <f>SUM(H178:H279)</f>
        <v>3.4714718376787773E-2</v>
      </c>
      <c r="I280" s="278"/>
      <c r="J280" s="270"/>
      <c r="Q280" s="318"/>
      <c r="R280" s="309"/>
      <c r="S280" s="148"/>
    </row>
    <row r="281" spans="1:19" ht="31.5" customHeight="1" thickBot="1" x14ac:dyDescent="0.3">
      <c r="A281" s="281" t="s">
        <v>100</v>
      </c>
      <c r="B281" s="282"/>
      <c r="C281" s="283"/>
      <c r="D281" s="284">
        <f>D19+D176+D280</f>
        <v>20032.349999999999</v>
      </c>
      <c r="E281" s="285">
        <f>E19+E176+E280</f>
        <v>2140.3018394088717</v>
      </c>
      <c r="F281" s="286"/>
      <c r="G281" s="287">
        <f>G19+G176+G280</f>
        <v>41490792.392741948</v>
      </c>
      <c r="H281" s="288">
        <f>H19+H176+H280</f>
        <v>8.5064399992970732E-2</v>
      </c>
      <c r="I281" s="289"/>
      <c r="J281" s="290"/>
    </row>
    <row r="282" spans="1:19" x14ac:dyDescent="0.25">
      <c r="E282" s="75"/>
      <c r="F282" s="12"/>
      <c r="G282" s="22"/>
      <c r="H282" s="22"/>
      <c r="L282" s="148"/>
    </row>
    <row r="284" spans="1:19" x14ac:dyDescent="0.25">
      <c r="A284" s="76" t="s">
        <v>15</v>
      </c>
      <c r="E284" s="17"/>
      <c r="F284" s="17"/>
      <c r="G284" s="3"/>
      <c r="H284" s="3"/>
      <c r="I284" s="3"/>
      <c r="J284" s="3"/>
      <c r="K284" s="3"/>
    </row>
    <row r="285" spans="1:19" ht="33" customHeight="1" x14ac:dyDescent="0.25">
      <c r="A285" s="369" t="s">
        <v>83</v>
      </c>
      <c r="B285" s="369"/>
      <c r="C285" s="369"/>
      <c r="D285" s="369"/>
      <c r="E285" s="369"/>
      <c r="F285" s="369"/>
      <c r="G285" s="369"/>
      <c r="H285" s="369"/>
      <c r="I285" s="369"/>
      <c r="J285" s="369"/>
    </row>
    <row r="286" spans="1:19" x14ac:dyDescent="0.25">
      <c r="A286" s="34"/>
    </row>
    <row r="287" spans="1:19" x14ac:dyDescent="0.25">
      <c r="A287" s="11" t="s">
        <v>44</v>
      </c>
    </row>
    <row r="288" spans="1:19" x14ac:dyDescent="0.25">
      <c r="A288" t="s">
        <v>45</v>
      </c>
    </row>
    <row r="289" spans="1:10" x14ac:dyDescent="0.25">
      <c r="A289" t="s">
        <v>101</v>
      </c>
    </row>
    <row r="290" spans="1:10" x14ac:dyDescent="0.25">
      <c r="J290" t="s">
        <v>127</v>
      </c>
    </row>
    <row r="291" spans="1:10" x14ac:dyDescent="0.25">
      <c r="E291" s="302"/>
    </row>
  </sheetData>
  <mergeCells count="2">
    <mergeCell ref="A1:J2"/>
    <mergeCell ref="A285:J285"/>
  </mergeCells>
  <pageMargins left="0.25" right="0.25"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MS4 Information</vt:lpstr>
      <vt:lpstr>All Actions 4-202.1(j)(1)(i)1</vt:lpstr>
      <vt:lpstr>ISRP Cost 4-202.1(j)(1)(i)2</vt:lpstr>
      <vt:lpstr>ISRP Revenue 4-202.1(j)(1)(i)3</vt:lpstr>
      <vt:lpstr>Fund Sources 4-202.1(j)(1)(i)4</vt:lpstr>
      <vt:lpstr>Spec Actions 4-202.1(j)(1)(i)5</vt:lpstr>
      <vt:lpstr>'Spec Actions 4-202.1(j)(1)(i)5'!Print_Area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kimberly.grove</dc:creator>
  <cp:lastModifiedBy>Michael N. Hrubiak</cp:lastModifiedBy>
  <cp:lastPrinted>2019-02-11T22:08:18Z</cp:lastPrinted>
  <dcterms:created xsi:type="dcterms:W3CDTF">2016-01-26T19:17:42Z</dcterms:created>
  <dcterms:modified xsi:type="dcterms:W3CDTF">2019-02-14T21:34:27Z</dcterms:modified>
</cp:coreProperties>
</file>